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xt-alexandra.nagy\Downloads\"/>
    </mc:Choice>
  </mc:AlternateContent>
  <xr:revisionPtr revIDLastSave="0" documentId="13_ncr:1_{F4385BBB-8D35-4F79-9EE7-EC530F724C52}" xr6:coauthVersionLast="47" xr6:coauthVersionMax="47" xr10:uidLastSave="{00000000-0000-0000-0000-000000000000}"/>
  <bookViews>
    <workbookView xWindow="-120" yWindow="-120" windowWidth="29040" windowHeight="15840" tabRatio="568" xr2:uid="{00000000-000D-0000-FFFF-FFFF00000000}"/>
  </bookViews>
  <sheets>
    <sheet name="Tétellista" sheetId="5" r:id="rId1"/>
    <sheet name="Processzor" sheetId="3" state="hidden" r:id="rId2"/>
    <sheet name="Osztó Vario PLUS" sheetId="6" state="hidden" r:id="rId3"/>
    <sheet name="Rendszer cikkszámok" sheetId="4" state="hidden" r:id="rId4"/>
  </sheets>
  <definedNames>
    <definedName name="_xlnm.Print_Area" localSheetId="0">Tétellista!$A$1:$D$33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3" l="1"/>
  <c r="I6" i="3" s="1"/>
  <c r="G7" i="3"/>
  <c r="I7" i="3" s="1"/>
  <c r="G8" i="3"/>
  <c r="G9" i="3"/>
  <c r="I9" i="3" s="1"/>
  <c r="G10" i="3"/>
  <c r="I10" i="3" s="1"/>
  <c r="G5" i="3"/>
  <c r="B2" i="3"/>
  <c r="F15" i="4" s="1"/>
  <c r="H8" i="3"/>
  <c r="H9" i="3"/>
  <c r="M9" i="3" s="1"/>
  <c r="H10" i="3"/>
  <c r="T10" i="3" s="1"/>
  <c r="H6" i="3"/>
  <c r="T6" i="3" s="1"/>
  <c r="H7" i="3"/>
  <c r="T7" i="3" s="1"/>
  <c r="H5" i="3"/>
  <c r="T5" i="3" s="1"/>
  <c r="A12" i="5"/>
  <c r="B4" i="4"/>
  <c r="J4" i="4"/>
  <c r="K4" i="4"/>
  <c r="L4" i="4"/>
  <c r="M4" i="4"/>
  <c r="N4" i="4"/>
  <c r="O4" i="4"/>
  <c r="B5" i="4"/>
  <c r="J5" i="4"/>
  <c r="K5" i="4"/>
  <c r="L5" i="4"/>
  <c r="M5" i="4"/>
  <c r="N5" i="4"/>
  <c r="O5" i="4"/>
  <c r="B6" i="4"/>
  <c r="J6" i="4"/>
  <c r="K6" i="4"/>
  <c r="L6" i="4"/>
  <c r="M6" i="4"/>
  <c r="N6" i="4"/>
  <c r="O6" i="4"/>
  <c r="B7" i="4"/>
  <c r="J7" i="4"/>
  <c r="K7" i="4"/>
  <c r="L7" i="4"/>
  <c r="M7" i="4"/>
  <c r="N7" i="4"/>
  <c r="O7" i="4"/>
  <c r="B8" i="4"/>
  <c r="J8" i="4"/>
  <c r="K8" i="4"/>
  <c r="L8" i="4"/>
  <c r="M8" i="4"/>
  <c r="N8" i="4"/>
  <c r="O8" i="4"/>
  <c r="K9" i="4"/>
  <c r="M9" i="4"/>
  <c r="N9" i="4"/>
  <c r="O9" i="4"/>
  <c r="M10" i="4"/>
  <c r="O10" i="4"/>
  <c r="B11" i="4"/>
  <c r="M11" i="4"/>
  <c r="B12" i="4"/>
  <c r="B13" i="4"/>
  <c r="B14" i="4"/>
  <c r="B15" i="4"/>
  <c r="B16" i="4"/>
  <c r="B19" i="4"/>
  <c r="B20" i="4"/>
  <c r="B21" i="4"/>
  <c r="B22" i="4"/>
  <c r="B23" i="4"/>
  <c r="B26" i="4"/>
  <c r="B27" i="4"/>
  <c r="B28" i="4"/>
  <c r="B29" i="4"/>
  <c r="B30" i="4"/>
  <c r="B31" i="4"/>
  <c r="B32" i="4"/>
  <c r="B33" i="4"/>
  <c r="B36" i="4"/>
  <c r="B37" i="4"/>
  <c r="B38" i="4"/>
  <c r="B39" i="4"/>
  <c r="B40" i="4"/>
  <c r="B41" i="4"/>
  <c r="B44" i="4"/>
  <c r="B45" i="4"/>
  <c r="B46" i="4"/>
  <c r="B47" i="4"/>
  <c r="B48" i="4"/>
  <c r="B49" i="4"/>
  <c r="B50" i="4"/>
  <c r="B53" i="4"/>
  <c r="B54" i="4"/>
  <c r="B55" i="4"/>
  <c r="B56" i="4"/>
  <c r="B57" i="4"/>
  <c r="B60" i="4"/>
  <c r="B61" i="4"/>
  <c r="B62" i="4"/>
  <c r="B63" i="4"/>
  <c r="B66" i="4"/>
  <c r="B67" i="4"/>
  <c r="B68" i="4"/>
  <c r="B69" i="4"/>
  <c r="B70" i="4"/>
  <c r="B1" i="3"/>
  <c r="F7" i="4" s="1"/>
  <c r="A22" i="5"/>
  <c r="E14" i="3"/>
  <c r="E23" i="5" s="1"/>
  <c r="A15" i="3"/>
  <c r="E15" i="3"/>
  <c r="E24" i="5" s="1"/>
  <c r="A16" i="3"/>
  <c r="E16" i="3"/>
  <c r="E25" i="5" s="1"/>
  <c r="B23" i="3"/>
  <c r="B24" i="3"/>
  <c r="B25" i="3"/>
  <c r="B30" i="3"/>
  <c r="B31" i="3"/>
  <c r="B32" i="3"/>
  <c r="B33" i="3"/>
  <c r="B34" i="3"/>
  <c r="A25" i="5"/>
  <c r="D16" i="3"/>
  <c r="D25" i="5" s="1"/>
  <c r="A23" i="5"/>
  <c r="B16" i="3"/>
  <c r="B25" i="5"/>
  <c r="B14" i="3"/>
  <c r="B23" i="5"/>
  <c r="D14" i="3"/>
  <c r="D23" i="5" s="1"/>
  <c r="B13" i="3"/>
  <c r="B22" i="5"/>
  <c r="A24" i="5"/>
  <c r="D13" i="3"/>
  <c r="D22" i="5" s="1"/>
  <c r="E13" i="3"/>
  <c r="E22" i="5" s="1"/>
  <c r="D15" i="3"/>
  <c r="D24" i="5" s="1"/>
  <c r="B15" i="3"/>
  <c r="B24" i="5"/>
  <c r="K10" i="3" l="1"/>
  <c r="J6" i="3"/>
  <c r="M10" i="3"/>
  <c r="P5" i="3"/>
  <c r="P10" i="3"/>
  <c r="L10" i="3"/>
  <c r="O8" i="3"/>
  <c r="Q10" i="3"/>
  <c r="R10" i="3"/>
  <c r="P6" i="3"/>
  <c r="O10" i="3"/>
  <c r="J10" i="3"/>
  <c r="S10" i="3"/>
  <c r="W10" i="3" s="1"/>
  <c r="N10" i="3"/>
  <c r="Z10" i="3"/>
  <c r="P9" i="3"/>
  <c r="Z6" i="3"/>
  <c r="L9" i="3"/>
  <c r="F11" i="4"/>
  <c r="F12" i="4"/>
  <c r="R7" i="3"/>
  <c r="S9" i="3"/>
  <c r="W9" i="3" s="1"/>
  <c r="K9" i="3"/>
  <c r="N6" i="3"/>
  <c r="J9" i="3"/>
  <c r="R9" i="3"/>
  <c r="Q6" i="3"/>
  <c r="L6" i="3"/>
  <c r="Q9" i="3"/>
  <c r="M5" i="3"/>
  <c r="R6" i="3"/>
  <c r="T8" i="3"/>
  <c r="O6" i="3"/>
  <c r="T9" i="3"/>
  <c r="O9" i="3"/>
  <c r="L7" i="3"/>
  <c r="K6" i="3"/>
  <c r="N9" i="3"/>
  <c r="M6" i="3"/>
  <c r="S6" i="3"/>
  <c r="W6" i="3" s="1"/>
  <c r="F13" i="4"/>
  <c r="A11" i="3"/>
  <c r="E11" i="3" s="1"/>
  <c r="E20" i="5" s="1"/>
  <c r="A12" i="3"/>
  <c r="D12" i="3" s="1"/>
  <c r="D21" i="5" s="1"/>
  <c r="F16" i="4"/>
  <c r="F18" i="4"/>
  <c r="N5" i="3"/>
  <c r="K5" i="3"/>
  <c r="R5" i="3"/>
  <c r="O5" i="3"/>
  <c r="I5" i="3"/>
  <c r="Z5" i="3" s="1"/>
  <c r="L5" i="3"/>
  <c r="S5" i="3"/>
  <c r="J5" i="3"/>
  <c r="S7" i="3"/>
  <c r="W7" i="3" s="1"/>
  <c r="S8" i="3"/>
  <c r="Q5" i="3"/>
  <c r="F19" i="4"/>
  <c r="Z9" i="3"/>
  <c r="R8" i="3"/>
  <c r="F9" i="4"/>
  <c r="J8" i="3"/>
  <c r="K7" i="3"/>
  <c r="I8" i="3"/>
  <c r="Z8" i="3" s="1"/>
  <c r="J7" i="3"/>
  <c r="P8" i="3"/>
  <c r="P7" i="3"/>
  <c r="M8" i="3"/>
  <c r="K8" i="3"/>
  <c r="F6" i="4"/>
  <c r="F14" i="4"/>
  <c r="F8" i="4"/>
  <c r="N8" i="3"/>
  <c r="O7" i="3"/>
  <c r="F10" i="4"/>
  <c r="F3" i="4"/>
  <c r="Q8" i="3"/>
  <c r="N7" i="3"/>
  <c r="L8" i="3"/>
  <c r="F21" i="4"/>
  <c r="F4" i="4"/>
  <c r="F51" i="4"/>
  <c r="Q7" i="3"/>
  <c r="M7" i="3"/>
  <c r="F35" i="4"/>
  <c r="Z7" i="3"/>
  <c r="A8" i="3"/>
  <c r="A10" i="3"/>
  <c r="A7" i="3"/>
  <c r="A6" i="3"/>
  <c r="A9" i="3"/>
  <c r="U8" i="3" l="1"/>
  <c r="V8" i="3" s="1"/>
  <c r="X8" i="3" s="1"/>
  <c r="U10" i="3"/>
  <c r="V10" i="3" s="1"/>
  <c r="X10" i="3" s="1"/>
  <c r="Y10" i="3" s="1"/>
  <c r="J11" i="3"/>
  <c r="F22" i="4" s="1"/>
  <c r="U9" i="3"/>
  <c r="V9" i="3" s="1"/>
  <c r="X9" i="3" s="1"/>
  <c r="Y9" i="3" s="1"/>
  <c r="L11" i="3"/>
  <c r="F27" i="4" s="1"/>
  <c r="C11" i="3" s="1"/>
  <c r="C20" i="5" s="1"/>
  <c r="T11" i="3"/>
  <c r="F38" i="4" s="1"/>
  <c r="P11" i="3"/>
  <c r="R11" i="3"/>
  <c r="F25" i="4" s="1"/>
  <c r="W8" i="3"/>
  <c r="B11" i="3"/>
  <c r="B20" i="5" s="1"/>
  <c r="U6" i="3"/>
  <c r="V6" i="3" s="1"/>
  <c r="X6" i="3" s="1"/>
  <c r="Y6" i="3" s="1"/>
  <c r="U7" i="3"/>
  <c r="V7" i="3" s="1"/>
  <c r="X7" i="3" s="1"/>
  <c r="Y7" i="3" s="1"/>
  <c r="M11" i="3"/>
  <c r="A21" i="5"/>
  <c r="B12" i="3"/>
  <c r="B21" i="5" s="1"/>
  <c r="E12" i="3"/>
  <c r="E21" i="5" s="1"/>
  <c r="A20" i="5"/>
  <c r="C12" i="3"/>
  <c r="C21" i="5" s="1"/>
  <c r="D11" i="3"/>
  <c r="D20" i="5" s="1"/>
  <c r="O11" i="3"/>
  <c r="F36" i="4" s="1"/>
  <c r="Z11" i="3"/>
  <c r="F50" i="4" s="1"/>
  <c r="N11" i="3"/>
  <c r="K11" i="3"/>
  <c r="F23" i="4" s="1"/>
  <c r="Q11" i="3"/>
  <c r="S11" i="3"/>
  <c r="F42" i="4" s="1"/>
  <c r="W5" i="3"/>
  <c r="U5" i="3"/>
  <c r="V5" i="3" s="1"/>
  <c r="X5" i="3" s="1"/>
  <c r="A16" i="5"/>
  <c r="E7" i="3"/>
  <c r="E16" i="5" s="1"/>
  <c r="D7" i="3"/>
  <c r="D16" i="5" s="1"/>
  <c r="B7" i="3"/>
  <c r="B16" i="5" s="1"/>
  <c r="A19" i="5"/>
  <c r="B10" i="3"/>
  <c r="B19" i="5" s="1"/>
  <c r="E10" i="3"/>
  <c r="E19" i="5" s="1"/>
  <c r="D10" i="3"/>
  <c r="D19" i="5" s="1"/>
  <c r="A17" i="5"/>
  <c r="B8" i="3"/>
  <c r="B17" i="5" s="1"/>
  <c r="D8" i="3"/>
  <c r="D17" i="5" s="1"/>
  <c r="E8" i="3"/>
  <c r="E17" i="5" s="1"/>
  <c r="B9" i="3"/>
  <c r="B18" i="5" s="1"/>
  <c r="E9" i="3"/>
  <c r="E18" i="5" s="1"/>
  <c r="A18" i="5"/>
  <c r="D9" i="3"/>
  <c r="D18" i="5" s="1"/>
  <c r="E6" i="3"/>
  <c r="E15" i="5" s="1"/>
  <c r="D6" i="3"/>
  <c r="D15" i="5" s="1"/>
  <c r="B6" i="3"/>
  <c r="B15" i="5" s="1"/>
  <c r="A15" i="5"/>
  <c r="Y8" i="3" l="1"/>
  <c r="F33" i="4"/>
  <c r="F49" i="4"/>
  <c r="C15" i="3" s="1"/>
  <c r="C24" i="5" s="1"/>
  <c r="W11" i="3"/>
  <c r="F40" i="4" s="1"/>
  <c r="F26" i="4"/>
  <c r="C10" i="3" s="1"/>
  <c r="C19" i="5" s="1"/>
  <c r="F44" i="4"/>
  <c r="F31" i="4"/>
  <c r="F34" i="4"/>
  <c r="F43" i="4"/>
  <c r="F32" i="4"/>
  <c r="A20" i="3"/>
  <c r="B20" i="3" s="1"/>
  <c r="B29" i="5" s="1"/>
  <c r="A17" i="3"/>
  <c r="A26" i="5" s="1"/>
  <c r="F28" i="4"/>
  <c r="F29" i="4"/>
  <c r="C13" i="3" s="1"/>
  <c r="C22" i="5" s="1"/>
  <c r="A19" i="3"/>
  <c r="A28" i="5" s="1"/>
  <c r="A18" i="3"/>
  <c r="A27" i="5" s="1"/>
  <c r="A21" i="3"/>
  <c r="D21" i="3" s="1"/>
  <c r="D30" i="5" s="1"/>
  <c r="F45" i="4"/>
  <c r="F47" i="4"/>
  <c r="C16" i="3" s="1"/>
  <c r="C25" i="5" s="1"/>
  <c r="F30" i="4"/>
  <c r="C14" i="3" s="1"/>
  <c r="C23" i="5" s="1"/>
  <c r="F46" i="4"/>
  <c r="F24" i="4"/>
  <c r="C9" i="3" s="1"/>
  <c r="C18" i="5" s="1"/>
  <c r="X11" i="3"/>
  <c r="F39" i="4" s="1"/>
  <c r="F17" i="4"/>
  <c r="F37" i="4"/>
  <c r="F5" i="4"/>
  <c r="C8" i="3"/>
  <c r="C17" i="5" s="1"/>
  <c r="Y5" i="3"/>
  <c r="Y11" i="3" l="1"/>
  <c r="F41" i="4" s="1"/>
  <c r="E17" i="3"/>
  <c r="E26" i="5" s="1"/>
  <c r="A29" i="5"/>
  <c r="D20" i="3"/>
  <c r="D29" i="5" s="1"/>
  <c r="C20" i="3"/>
  <c r="C29" i="5" s="1"/>
  <c r="E20" i="3"/>
  <c r="E29" i="5" s="1"/>
  <c r="D19" i="3"/>
  <c r="D28" i="5" s="1"/>
  <c r="C19" i="3"/>
  <c r="C28" i="5" s="1"/>
  <c r="E19" i="3"/>
  <c r="E28" i="5" s="1"/>
  <c r="B19" i="3"/>
  <c r="B28" i="5" s="1"/>
  <c r="C17" i="3"/>
  <c r="C26" i="5" s="1"/>
  <c r="B17" i="3"/>
  <c r="B26" i="5" s="1"/>
  <c r="D17" i="3"/>
  <c r="D26" i="5" s="1"/>
  <c r="C18" i="3"/>
  <c r="C27" i="5" s="1"/>
  <c r="B18" i="3"/>
  <c r="B27" i="5" s="1"/>
  <c r="C21" i="3"/>
  <c r="C30" i="5" s="1"/>
  <c r="A30" i="5"/>
  <c r="F20" i="4"/>
  <c r="C7" i="3" s="1"/>
  <c r="C16" i="5" s="1"/>
  <c r="C6" i="3"/>
  <c r="C15" i="5" s="1"/>
  <c r="E18" i="3"/>
  <c r="E27" i="5" s="1"/>
  <c r="D18" i="3"/>
  <c r="D27" i="5" s="1"/>
  <c r="B21" i="3"/>
  <c r="B30" i="5" s="1"/>
  <c r="E21" i="3"/>
  <c r="E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Becze, Dénes</author>
  </authors>
  <commentList>
    <comment ref="G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Becze, Dénes:</t>
        </r>
        <r>
          <rPr>
            <sz val="9"/>
            <color indexed="81"/>
            <rFont val="Tahoma"/>
            <family val="2"/>
            <charset val="238"/>
          </rPr>
          <t xml:space="preserve">
Biztonsági tényező</t>
        </r>
      </text>
    </comment>
    <comment ref="T3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Becze, Dénes:</t>
        </r>
        <r>
          <rPr>
            <sz val="9"/>
            <color indexed="81"/>
            <rFont val="Tahoma"/>
            <family val="2"/>
            <charset val="238"/>
          </rPr>
          <t xml:space="preserve">
Panel felülete</t>
        </r>
      </text>
    </comment>
  </commentList>
</comments>
</file>

<file path=xl/sharedStrings.xml><?xml version="1.0" encoding="utf-8"?>
<sst xmlns="http://schemas.openxmlformats.org/spreadsheetml/2006/main" count="200" uniqueCount="114">
  <si>
    <t>Minitec</t>
  </si>
  <si>
    <t>Milyen rendszer</t>
  </si>
  <si>
    <t>Hány m2</t>
  </si>
  <si>
    <t>Renovis</t>
  </si>
  <si>
    <t>Cikkszám</t>
  </si>
  <si>
    <t>Megnevezés</t>
  </si>
  <si>
    <t>Mennyiség</t>
  </si>
  <si>
    <t>Terméklista</t>
  </si>
  <si>
    <t>Siccus</t>
  </si>
  <si>
    <t>Classic</t>
  </si>
  <si>
    <t>Tacker</t>
  </si>
  <si>
    <t>légtelenítő</t>
  </si>
  <si>
    <t>golyóscsap</t>
  </si>
  <si>
    <t>szekrény I</t>
  </si>
  <si>
    <t>szekrény II</t>
  </si>
  <si>
    <t>szekrény III</t>
  </si>
  <si>
    <t>szekrény IV</t>
  </si>
  <si>
    <t>Körszám</t>
  </si>
  <si>
    <t>Tecto</t>
  </si>
  <si>
    <t>Egység</t>
  </si>
  <si>
    <t>m</t>
  </si>
  <si>
    <t>db</t>
  </si>
  <si>
    <r>
      <t>m</t>
    </r>
    <r>
      <rPr>
        <vertAlign val="superscript"/>
        <sz val="10"/>
        <rFont val="Arial"/>
        <family val="2"/>
        <charset val="238"/>
      </rPr>
      <t>2</t>
    </r>
  </si>
  <si>
    <t>Összes rendszerelem amit az excel használ</t>
  </si>
  <si>
    <t>Ezeket a cikkszámokat hivatkozza tovább a tétellista. Ide a rendszerelemek táblázatból kerülnek át a cikkszámok.</t>
  </si>
  <si>
    <t>Rendszerelemek</t>
  </si>
  <si>
    <t>Adott körszámhoz tartozó, osztók és kiegészítőiknek a darabszáma</t>
  </si>
  <si>
    <t>Ez a két oszlop azért kell, hogy a tétellista megtalálja a szükséges cikkszámokat.</t>
  </si>
  <si>
    <t>Felületfűtési segédlet</t>
  </si>
  <si>
    <r>
      <t>m</t>
    </r>
    <r>
      <rPr>
        <vertAlign val="superscript"/>
        <sz val="10"/>
        <color indexed="30"/>
        <rFont val="Verdana"/>
        <family val="2"/>
        <charset val="238"/>
      </rPr>
      <t>2</t>
    </r>
  </si>
  <si>
    <t>*A segédlet tartalma csak iránymutatásul szolgál! Az itt feltüntetett adatok ökölszámok alapján kerültek kalkulálásra, azok az épület adottságait figyelmen kívül hagyják! A termékek csak csomagolási egységre kerekítve rendelhetőek!</t>
  </si>
  <si>
    <t>Kitöltendő mezők:</t>
  </si>
  <si>
    <t>Uponor Comfort Plus cső 14x2,0 240m</t>
  </si>
  <si>
    <t>Uponor Comfort Plus cső 16x2,0 240m</t>
  </si>
  <si>
    <t>Uponor Comfort Plus cső 20x2,0 240m</t>
  </si>
  <si>
    <t>Uponor Comfort Plus 20×2.0 S9-es szigetelt cső 60m</t>
  </si>
  <si>
    <t>Uponor Minitec rendszerlemez 1100x700x12mm</t>
  </si>
  <si>
    <t xml:space="preserve">Uponor Minitec szegélyszigetelés 80x8 mm 20m </t>
  </si>
  <si>
    <t>Uponor Siccus rendszerlemez 1197x1050x25mm</t>
  </si>
  <si>
    <t xml:space="preserve">Uponor Siccus hőelosztó lemez </t>
  </si>
  <si>
    <t xml:space="preserve">Uponor Multi fólia PE, 0,2mm, 60x1,25m 75m2 </t>
  </si>
  <si>
    <t>Uponor Multi szegélyszigetelés 150x10 mm 50m - ragasztócsíkkal</t>
  </si>
  <si>
    <t>Uponor Renovis Panel 2×0,625m</t>
  </si>
  <si>
    <t>Uponor Renovis Panel 1,2×0,625m</t>
  </si>
  <si>
    <t>Uponor Q&amp;E toldó gyűrűvel 9,9</t>
  </si>
  <si>
    <t>Uponor Q&amp;E réz szűkítő 20x9,9</t>
  </si>
  <si>
    <t>Uponor Q&amp;E réz T 20x9,9x20</t>
  </si>
  <si>
    <t>Uponor Tacker Panel 30mm DES 30-2</t>
  </si>
  <si>
    <t>Uponor Tacker rögzítő tüske, 14-20mm, H=40mm</t>
  </si>
  <si>
    <t>Uponor Fix tartósín 9,9mm</t>
  </si>
  <si>
    <t>Uponor Vario PE-Xa Eurokónuszos csavarzat 14x2,0-3/4"</t>
  </si>
  <si>
    <t>Uponor Multi műanyag csőrögzítő ív 9,9</t>
  </si>
  <si>
    <t>Uponor Multi acél csővezető ív 14-16</t>
  </si>
  <si>
    <t>Uponor Multi acél csővezető ív 20</t>
  </si>
  <si>
    <t>Uponor Vario Plus automata légtelenítő 3/8"</t>
  </si>
  <si>
    <t>Uponor Vario golyóscsap km/bm 1"/1"</t>
  </si>
  <si>
    <t>Uponor Tecto rendszerlemez 1450x850x11mm</t>
  </si>
  <si>
    <t>TABS</t>
  </si>
  <si>
    <t>Uponor Vario PE-Xa Eurokónuszos csavarzat 16x2,0-3/4"</t>
  </si>
  <si>
    <t>Uponor Vario PE-Xa Eurokónuszos csavarzat 20x2,0-3/4"</t>
  </si>
  <si>
    <t>Uponor Teck védőcső 20-as csőre 28/23 fekete 50m</t>
  </si>
  <si>
    <t>Uponor födémátvezető elem</t>
  </si>
  <si>
    <t>Thermatop</t>
  </si>
  <si>
    <t>Uponor Minitec Comfort cső 9.9x1.1 240m</t>
  </si>
  <si>
    <t>Csomagolási egység</t>
  </si>
  <si>
    <t>Uponor Minitec szorítógyűrűs csavarzat 9,9×1,1-3/4"</t>
  </si>
  <si>
    <t>alapkészlet</t>
  </si>
  <si>
    <t>Bekötő könyök</t>
  </si>
  <si>
    <t>pár</t>
  </si>
  <si>
    <t>Uponor Thermatop M Panel 2,55x0,277m</t>
  </si>
  <si>
    <t>Uponor S-Press PLUS PPSU T 20-16-20</t>
  </si>
  <si>
    <t>Uponor S-Press PLUS PPSU szűkítő 20-16</t>
  </si>
  <si>
    <t>Uponor S-Press PLUS PPSU toldó 16-16</t>
  </si>
  <si>
    <t>Uponor Uni Pipe PLUS szigetelt ötrétegű cső S6 20x2,25 75m</t>
  </si>
  <si>
    <t xml:space="preserve">Uponor Vario Plus osztó-gyűjtő áramlásmérővel 1×3/4" </t>
  </si>
  <si>
    <t xml:space="preserve">Uponor Vario Plus osztó-gyűjtő áramlásmérővel 3×3/4" </t>
  </si>
  <si>
    <t xml:space="preserve">Uponor Vario Plus osztó-gyűjtő áramlásmérővel 4×3/4" </t>
  </si>
  <si>
    <t xml:space="preserve">Uponor Vario Plus osztó-gyűjtő áramlásmérővel 6×3/4" </t>
  </si>
  <si>
    <t>Uponor Vario Plus osztó-gyűjtő alapkészlet</t>
  </si>
  <si>
    <t>Uponor Teck védőcső 16-os csőre 25/20 fekete 50m</t>
  </si>
  <si>
    <t>Uponor Vario Plus osztó-gyűjtő könyök</t>
  </si>
  <si>
    <t>Szoba felületek</t>
  </si>
  <si>
    <t>Rendszer típusa</t>
  </si>
  <si>
    <t>Helyiség típusa, alapterülete</t>
  </si>
  <si>
    <t>Szoba</t>
  </si>
  <si>
    <t>Nappali</t>
  </si>
  <si>
    <t>Konyha</t>
  </si>
  <si>
    <t>Garázs</t>
  </si>
  <si>
    <t>Fürdő</t>
  </si>
  <si>
    <t>Háztartási helyiség</t>
  </si>
  <si>
    <t>Uponor Vario osztószekrény 555×820×160mm falon kívül</t>
  </si>
  <si>
    <t>Uponor Vario osztószekrény 705×820×160mm falon kívül</t>
  </si>
  <si>
    <t>Uponor Vario osztószekrény 785×820×160mm falon kívül</t>
  </si>
  <si>
    <t>Uponor Vario osztószekrény 950×820×160mm falon kívül</t>
  </si>
  <si>
    <t>*Minitec rendszer max 125m2-ig számítható, minden más 300m2-ig</t>
  </si>
  <si>
    <t>Fix</t>
  </si>
  <si>
    <t>Klett</t>
  </si>
  <si>
    <t>Uponor Klett Comfort Pipe Plus 16×2,0 240m</t>
  </si>
  <si>
    <t>m2</t>
  </si>
  <si>
    <t>Uponor Klett, tépőzáras, rendszerlemez</t>
  </si>
  <si>
    <t>Panel/zóna</t>
  </si>
  <si>
    <t>Thermatop mező kiosztás</t>
  </si>
  <si>
    <t>Panelek száma</t>
  </si>
  <si>
    <t>Zónák száma</t>
  </si>
  <si>
    <t>SZ</t>
  </si>
  <si>
    <t>T</t>
  </si>
  <si>
    <t>t</t>
  </si>
  <si>
    <t>Szoba típusa</t>
  </si>
  <si>
    <t>Osztás</t>
  </si>
  <si>
    <t>Helyiség típusok</t>
  </si>
  <si>
    <t>Contec</t>
  </si>
  <si>
    <t>kör max felület / csőméret</t>
  </si>
  <si>
    <t>kör max felület / rendszer</t>
  </si>
  <si>
    <t>Csőhosszok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</si>
</sst>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Verdana"/>
      <family val="2"/>
      <charset val="238"/>
    </font>
    <font>
      <sz val="10"/>
      <name val="Verdana"/>
      <family val="2"/>
      <charset val="238"/>
    </font>
    <font>
      <sz val="11"/>
      <name val="Verdana"/>
      <family val="2"/>
      <charset val="238"/>
    </font>
    <font>
      <vertAlign val="superscript"/>
      <sz val="10"/>
      <name val="Arial"/>
      <family val="2"/>
      <charset val="238"/>
    </font>
    <font>
      <i/>
      <sz val="10"/>
      <name val="Verdana"/>
      <family val="2"/>
      <charset val="238"/>
    </font>
    <font>
      <vertAlign val="superscript"/>
      <sz val="10"/>
      <color indexed="30"/>
      <name val="Verdana"/>
      <family val="2"/>
      <charset val="238"/>
    </font>
    <font>
      <i/>
      <sz val="8"/>
      <name val="Verdana"/>
      <family val="2"/>
      <charset val="238"/>
    </font>
    <font>
      <b/>
      <sz val="14"/>
      <name val="Verdana"/>
      <family val="2"/>
      <charset val="238"/>
    </font>
    <font>
      <i/>
      <sz val="9"/>
      <name val="Verdan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70C0"/>
      <name val="Verdana"/>
      <family val="2"/>
      <charset val="238"/>
    </font>
    <font>
      <i/>
      <sz val="10"/>
      <color theme="0" tint="-0.499984740745262"/>
      <name val="Arial"/>
      <family val="2"/>
      <charset val="238"/>
    </font>
    <font>
      <b/>
      <sz val="9"/>
      <color theme="0"/>
      <name val="Verdana"/>
      <family val="2"/>
      <charset val="238"/>
    </font>
    <font>
      <i/>
      <sz val="11"/>
      <color theme="1"/>
      <name val="Verdana"/>
      <family val="2"/>
      <charset val="238"/>
    </font>
    <font>
      <i/>
      <sz val="10"/>
      <color theme="1"/>
      <name val="Verdana"/>
      <family val="2"/>
      <charset val="238"/>
    </font>
    <font>
      <sz val="11"/>
      <color rgb="FF0062C8"/>
      <name val="Verdana"/>
      <family val="2"/>
      <charset val="238"/>
    </font>
    <font>
      <sz val="10"/>
      <color theme="1"/>
      <name val="Arial"/>
      <family val="2"/>
      <charset val="238"/>
    </font>
    <font>
      <i/>
      <sz val="18"/>
      <color rgb="FF0062C8"/>
      <name val="Verdana"/>
      <family val="2"/>
      <charset val="238"/>
    </font>
    <font>
      <b/>
      <i/>
      <sz val="10"/>
      <color rgb="FF0062C8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62C8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 tint="-0.499984740745262"/>
      </right>
      <top/>
      <bottom/>
      <diagonal/>
    </border>
    <border>
      <left/>
      <right style="thin">
        <color rgb="FF00B050"/>
      </right>
      <top/>
      <bottom/>
      <diagonal/>
    </border>
    <border>
      <left/>
      <right style="thin">
        <color rgb="FF00B050"/>
      </right>
      <top/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1" fillId="0" borderId="0"/>
  </cellStyleXfs>
  <cellXfs count="83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/>
    <xf numFmtId="1" fontId="0" fillId="0" borderId="0" xfId="0" applyNumberFormat="1"/>
    <xf numFmtId="1" fontId="0" fillId="0" borderId="16" xfId="0" applyNumberFormat="1" applyBorder="1"/>
    <xf numFmtId="1" fontId="0" fillId="0" borderId="17" xfId="0" applyNumberFormat="1" applyBorder="1"/>
    <xf numFmtId="0" fontId="3" fillId="0" borderId="0" xfId="0" applyFont="1"/>
    <xf numFmtId="0" fontId="14" fillId="0" borderId="0" xfId="0" applyFont="1"/>
    <xf numFmtId="0" fontId="0" fillId="0" borderId="0" xfId="0" applyAlignment="1"/>
    <xf numFmtId="0" fontId="15" fillId="0" borderId="0" xfId="0" applyFont="1"/>
    <xf numFmtId="0" fontId="15" fillId="0" borderId="0" xfId="0" applyFont="1" applyAlignment="1"/>
    <xf numFmtId="1" fontId="2" fillId="0" borderId="0" xfId="0" applyNumberFormat="1" applyFont="1"/>
    <xf numFmtId="0" fontId="6" fillId="0" borderId="0" xfId="0" applyFont="1"/>
    <xf numFmtId="0" fontId="16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3" borderId="0" xfId="0" applyFont="1" applyFill="1"/>
    <xf numFmtId="0" fontId="17" fillId="3" borderId="0" xfId="0" applyFont="1" applyFill="1" applyBorder="1" applyAlignment="1">
      <alignment horizontal="center" vertical="center"/>
    </xf>
    <xf numFmtId="0" fontId="18" fillId="0" borderId="0" xfId="0" applyFont="1"/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4" fillId="0" borderId="0" xfId="0" applyFont="1" applyAlignment="1"/>
    <xf numFmtId="0" fontId="19" fillId="3" borderId="0" xfId="0" applyFont="1" applyFill="1" applyBorder="1" applyAlignment="1">
      <alignment vertical="center"/>
    </xf>
    <xf numFmtId="0" fontId="9" fillId="0" borderId="0" xfId="0" applyFont="1" applyAlignment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1" fillId="0" borderId="0" xfId="0" applyFont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5" xfId="0" applyFont="1" applyBorder="1"/>
    <xf numFmtId="1" fontId="0" fillId="0" borderId="7" xfId="0" applyNumberFormat="1" applyBorder="1"/>
    <xf numFmtId="0" fontId="0" fillId="0" borderId="11" xfId="0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14" xfId="0" applyBorder="1"/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Fill="1" applyBorder="1"/>
    <xf numFmtId="0" fontId="0" fillId="0" borderId="2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0" xfId="0" applyFont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0" xfId="0" applyFont="1" applyBorder="1"/>
    <xf numFmtId="1" fontId="0" fillId="0" borderId="18" xfId="0" applyNumberFormat="1" applyBorder="1"/>
    <xf numFmtId="0" fontId="0" fillId="0" borderId="9" xfId="0" applyBorder="1" applyAlignment="1"/>
    <xf numFmtId="0" fontId="1" fillId="0" borderId="3" xfId="0" applyFont="1" applyBorder="1" applyAlignment="1"/>
    <xf numFmtId="0" fontId="0" fillId="0" borderId="11" xfId="0" applyBorder="1" applyAlignment="1">
      <alignment horizontal="center"/>
    </xf>
    <xf numFmtId="0" fontId="1" fillId="0" borderId="1" xfId="0" applyFont="1" applyBorder="1"/>
    <xf numFmtId="1" fontId="0" fillId="0" borderId="14" xfId="0" applyNumberFormat="1" applyBorder="1"/>
    <xf numFmtId="1" fontId="0" fillId="0" borderId="15" xfId="0" applyNumberFormat="1" applyBorder="1"/>
    <xf numFmtId="0" fontId="0" fillId="0" borderId="2" xfId="0" applyBorder="1"/>
    <xf numFmtId="1" fontId="0" fillId="0" borderId="1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20" fillId="0" borderId="12" xfId="0" applyNumberFormat="1" applyFont="1" applyBorder="1"/>
    <xf numFmtId="0" fontId="14" fillId="0" borderId="15" xfId="0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21" fillId="3" borderId="0" xfId="0" applyFont="1" applyFill="1" applyAlignment="1">
      <alignment horizontal="center" vertical="center"/>
    </xf>
    <xf numFmtId="0" fontId="19" fillId="3" borderId="11" xfId="0" applyFont="1" applyFill="1" applyBorder="1" applyAlignment="1" applyProtection="1">
      <alignment horizontal="center" vertical="center"/>
      <protection locked="0"/>
    </xf>
    <xf numFmtId="0" fontId="19" fillId="3" borderId="1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2" fillId="3" borderId="0" xfId="0" applyFont="1" applyFill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23"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Verdana"/>
        <scheme val="none"/>
      </font>
      <fill>
        <patternFill patternType="solid">
          <fgColor indexed="64"/>
          <bgColor rgb="FF0062C8"/>
        </patternFill>
      </fill>
      <alignment horizontal="center" vertical="center" textRotation="0" wrapText="0" indent="0" justifyLastLine="0" shrinkToFit="0" readingOrder="0"/>
    </dxf>
    <dxf>
      <fill>
        <patternFill>
          <bgColor theme="4" tint="0.79998168889431442"/>
        </patternFill>
      </fill>
    </dxf>
  </dxfs>
  <tableStyles count="1" defaultTableStyle="TableStyleMedium9" defaultPivotStyle="PivotStyleLight16">
    <tableStyle name="Ajánlat" pivot="0" count="1" xr9:uid="{00000000-0011-0000-FFFF-FFFF00000000}">
      <tableStyleElement type="secondRow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123825</xdr:rowOff>
    </xdr:from>
    <xdr:to>
      <xdr:col>1</xdr:col>
      <xdr:colOff>3800475</xdr:colOff>
      <xdr:row>7</xdr:row>
      <xdr:rowOff>47625</xdr:rowOff>
    </xdr:to>
    <xdr:pic>
      <xdr:nvPicPr>
        <xdr:cNvPr id="11374" name="Picture 3" descr="uponor_rgb_small">
          <a:extLst>
            <a:ext uri="{FF2B5EF4-FFF2-40B4-BE49-F238E27FC236}">
              <a16:creationId xmlns:a16="http://schemas.microsoft.com/office/drawing/2014/main" id="{A8DFE620-16C9-86DF-DDD2-46F838471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99" t="23331" r="9999" b="23331"/>
        <a:stretch>
          <a:fillRect/>
        </a:stretch>
      </xdr:blipFill>
      <xdr:spPr bwMode="auto">
        <a:xfrm>
          <a:off x="1323975" y="123825"/>
          <a:ext cx="3143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00000000-000C-0000-FFFF-FFFF00000000}" name="Táblázat120" displayName="Táblázat120" ref="A14:E30" totalsRowShown="0" headerRowDxfId="21">
  <autoFilter ref="A14:E30" xr:uid="{00000000-0009-0000-0100-000078000000}">
    <filterColumn colId="0" hiddenButton="1"/>
    <filterColumn colId="1" hiddenButton="1"/>
    <filterColumn colId="2" hiddenButton="1"/>
    <filterColumn colId="3" hiddenButton="1"/>
  </autoFilter>
  <tableColumns count="5">
    <tableColumn id="1" xr3:uid="{00000000-0010-0000-0000-000001000000}" name="Cikkszám" dataDxfId="20">
      <calculatedColumnFormula>Processzor!A6</calculatedColumnFormula>
    </tableColumn>
    <tableColumn id="2" xr3:uid="{00000000-0010-0000-0000-000002000000}" name="Megnevezés" dataDxfId="19">
      <calculatedColumnFormula>Processzor!B6</calculatedColumnFormula>
    </tableColumn>
    <tableColumn id="3" xr3:uid="{00000000-0010-0000-0000-000003000000}" name="Mennyiség" dataDxfId="18">
      <calculatedColumnFormula>Processzor!C6</calculatedColumnFormula>
    </tableColumn>
    <tableColumn id="4" xr3:uid="{00000000-0010-0000-0000-000004000000}" name="Egység" dataDxfId="17">
      <calculatedColumnFormula>Processzor!D6</calculatedColumnFormula>
    </tableColumn>
    <tableColumn id="5" xr3:uid="{00000000-0010-0000-0000-000005000000}" name="Csomagolási egység" dataDxfId="16">
      <calculatedColumnFormula>Processzor!E6</calculatedColumnFormula>
    </tableColumn>
  </tableColumns>
  <tableStyleInfo name="Ajánlat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3"/>
  <sheetViews>
    <sheetView tabSelected="1" view="pageBreakPreview" zoomScale="90" zoomScaleNormal="100" zoomScaleSheetLayoutView="90" workbookViewId="0">
      <selection activeCell="H22" sqref="H22"/>
    </sheetView>
  </sheetViews>
  <sheetFormatPr defaultRowHeight="12.75" x14ac:dyDescent="0.2"/>
  <cols>
    <col min="1" max="1" width="10" style="9" customWidth="1"/>
    <col min="2" max="2" width="58.5703125" style="9" customWidth="1"/>
    <col min="3" max="3" width="11" style="9" customWidth="1"/>
    <col min="4" max="4" width="9.7109375" style="9" customWidth="1"/>
    <col min="5" max="5" width="23.7109375" style="9" bestFit="1" customWidth="1"/>
    <col min="6" max="6" width="9.140625" style="9"/>
    <col min="7" max="7" width="21.7109375" style="9" bestFit="1" customWidth="1"/>
    <col min="8" max="11" width="9.140625" style="9"/>
    <col min="12" max="12" width="12.42578125" style="9" bestFit="1" customWidth="1"/>
    <col min="13" max="16384" width="9.140625" style="9"/>
  </cols>
  <sheetData>
    <row r="1" spans="1:13" x14ac:dyDescent="0.2">
      <c r="A1" s="19"/>
      <c r="B1" s="19"/>
      <c r="C1" s="19"/>
      <c r="D1" s="19"/>
    </row>
    <row r="2" spans="1:13" x14ac:dyDescent="0.2">
      <c r="A2" s="19"/>
      <c r="B2" s="19"/>
      <c r="C2" s="19"/>
      <c r="D2" s="19"/>
    </row>
    <row r="3" spans="1:13" x14ac:dyDescent="0.2">
      <c r="A3" s="19"/>
      <c r="B3" s="19"/>
      <c r="C3" s="19"/>
      <c r="D3" s="19"/>
    </row>
    <row r="4" spans="1:13" x14ac:dyDescent="0.2">
      <c r="A4" s="19"/>
      <c r="B4" s="19"/>
      <c r="C4" s="19"/>
      <c r="D4" s="19"/>
    </row>
    <row r="5" spans="1:13" x14ac:dyDescent="0.2">
      <c r="A5" s="19"/>
      <c r="B5" s="19"/>
      <c r="C5" s="19"/>
      <c r="D5" s="19"/>
    </row>
    <row r="6" spans="1:13" x14ac:dyDescent="0.2">
      <c r="A6" s="19"/>
      <c r="B6" s="19"/>
      <c r="C6" s="19"/>
      <c r="D6" s="19"/>
    </row>
    <row r="7" spans="1:13" x14ac:dyDescent="0.2">
      <c r="A7" s="19"/>
      <c r="B7" s="19"/>
      <c r="C7" s="19"/>
      <c r="D7" s="19"/>
    </row>
    <row r="8" spans="1:13" x14ac:dyDescent="0.2">
      <c r="A8" s="19"/>
      <c r="B8" s="19"/>
      <c r="C8" s="19"/>
      <c r="D8" s="19"/>
    </row>
    <row r="9" spans="1:13" x14ac:dyDescent="0.2">
      <c r="A9" s="71" t="s">
        <v>28</v>
      </c>
      <c r="B9" s="71"/>
      <c r="C9" s="71"/>
      <c r="D9" s="71"/>
    </row>
    <row r="10" spans="1:13" x14ac:dyDescent="0.2">
      <c r="A10" s="71"/>
      <c r="B10" s="71"/>
      <c r="C10" s="71"/>
      <c r="D10" s="71"/>
    </row>
    <row r="11" spans="1:13" x14ac:dyDescent="0.2">
      <c r="A11" s="76"/>
      <c r="B11" s="76"/>
      <c r="C11" s="76"/>
      <c r="D11" s="76"/>
    </row>
    <row r="12" spans="1:13" x14ac:dyDescent="0.2">
      <c r="A12" s="76" t="str">
        <f>CONCATENATE(L15,J21)</f>
        <v/>
      </c>
      <c r="B12" s="76"/>
      <c r="C12" s="76"/>
      <c r="D12" s="76"/>
    </row>
    <row r="13" spans="1:13" x14ac:dyDescent="0.2">
      <c r="A13" s="19"/>
      <c r="B13" s="19"/>
      <c r="C13" s="19"/>
      <c r="D13" s="19"/>
    </row>
    <row r="14" spans="1:13" ht="18" x14ac:dyDescent="0.25">
      <c r="A14" s="16" t="s">
        <v>4</v>
      </c>
      <c r="B14" s="16" t="s">
        <v>5</v>
      </c>
      <c r="C14" s="16" t="s">
        <v>6</v>
      </c>
      <c r="D14" s="16" t="s">
        <v>19</v>
      </c>
      <c r="E14" s="17" t="s">
        <v>64</v>
      </c>
      <c r="G14" s="75" t="s">
        <v>31</v>
      </c>
      <c r="H14" s="75"/>
      <c r="I14" s="26"/>
      <c r="L14" s="15"/>
    </row>
    <row r="15" spans="1:13" ht="14.25" x14ac:dyDescent="0.2">
      <c r="A15" s="1">
        <f>Processzor!A6</f>
        <v>1005261</v>
      </c>
      <c r="B15" s="1" t="str">
        <f>Processzor!B6</f>
        <v>Uponor Minitec rendszerlemez 1100x700x12mm</v>
      </c>
      <c r="C15" s="14">
        <f>Processzor!C6</f>
        <v>0</v>
      </c>
      <c r="D15" s="14" t="str">
        <f>Processzor!D6</f>
        <v>m2</v>
      </c>
      <c r="E15" s="18">
        <f>Processzor!E6</f>
        <v>15.4</v>
      </c>
      <c r="L15" s="20"/>
      <c r="M15" s="21"/>
    </row>
    <row r="16" spans="1:13" ht="15" thickBot="1" x14ac:dyDescent="0.25">
      <c r="A16" s="1">
        <f>Processzor!A7</f>
        <v>1063289</v>
      </c>
      <c r="B16" s="1" t="str">
        <f>Processzor!B7</f>
        <v>Uponor Minitec Comfort cső 9.9x1.1 240m</v>
      </c>
      <c r="C16" s="14">
        <f>Processzor!C7</f>
        <v>0</v>
      </c>
      <c r="D16" s="14" t="str">
        <f>Processzor!D7</f>
        <v>m</v>
      </c>
      <c r="E16" s="18">
        <f>Processzor!E7</f>
        <v>240</v>
      </c>
      <c r="G16" s="74" t="s">
        <v>82</v>
      </c>
      <c r="H16" s="74"/>
      <c r="I16" s="24"/>
    </row>
    <row r="17" spans="1:10" ht="15" thickBot="1" x14ac:dyDescent="0.25">
      <c r="A17" s="1">
        <f>Processzor!A8</f>
        <v>1005267</v>
      </c>
      <c r="B17" s="1" t="str">
        <f>Processzor!B8</f>
        <v xml:space="preserve">Uponor Minitec szegélyszigetelés 80x8 mm 20m </v>
      </c>
      <c r="C17" s="14">
        <f>Processzor!C8</f>
        <v>0</v>
      </c>
      <c r="D17" s="14" t="str">
        <f>Processzor!D8</f>
        <v>m</v>
      </c>
      <c r="E17" s="18">
        <f>Processzor!E8</f>
        <v>20</v>
      </c>
      <c r="G17" s="72" t="s">
        <v>0</v>
      </c>
      <c r="H17" s="73"/>
    </row>
    <row r="18" spans="1:10" ht="14.25" x14ac:dyDescent="0.2">
      <c r="A18" s="1">
        <f>Processzor!A9</f>
        <v>1013426</v>
      </c>
      <c r="B18" s="1" t="str">
        <f>Processzor!B9</f>
        <v>Uponor Minitec szorítógyűrűs csavarzat 9,9×1,1-3/4"</v>
      </c>
      <c r="C18" s="14">
        <f>Processzor!C9</f>
        <v>0</v>
      </c>
      <c r="D18" s="14" t="str">
        <f>Processzor!D9</f>
        <v>db</v>
      </c>
      <c r="E18" s="18">
        <f>Processzor!E9</f>
        <v>12</v>
      </c>
      <c r="I18" s="25"/>
    </row>
    <row r="19" spans="1:10" x14ac:dyDescent="0.2">
      <c r="A19" s="1">
        <f>Processzor!A10</f>
        <v>1063781</v>
      </c>
      <c r="B19" s="1" t="str">
        <f>Processzor!B10</f>
        <v>Uponor Multi műanyag csőrögzítő ív 9,9</v>
      </c>
      <c r="C19" s="14">
        <f>Processzor!C10</f>
        <v>0</v>
      </c>
      <c r="D19" s="14" t="str">
        <f>Processzor!D10</f>
        <v>db</v>
      </c>
      <c r="E19" s="18">
        <f>Processzor!E10</f>
        <v>50</v>
      </c>
    </row>
    <row r="20" spans="1:10" ht="14.25" x14ac:dyDescent="0.2">
      <c r="A20" s="1" t="str">
        <f>Processzor!A11</f>
        <v/>
      </c>
      <c r="B20" s="1" t="str">
        <f>Processzor!B11</f>
        <v/>
      </c>
      <c r="C20" s="14" t="str">
        <f>Processzor!C11</f>
        <v/>
      </c>
      <c r="D20" s="14" t="str">
        <f>Processzor!D11</f>
        <v/>
      </c>
      <c r="E20" s="18" t="str">
        <f>Processzor!E11</f>
        <v/>
      </c>
      <c r="G20" s="74" t="s">
        <v>83</v>
      </c>
      <c r="H20" s="74"/>
      <c r="I20" s="3"/>
    </row>
    <row r="21" spans="1:10" ht="13.5" thickBot="1" x14ac:dyDescent="0.25">
      <c r="A21" s="1" t="str">
        <f>Processzor!A12</f>
        <v/>
      </c>
      <c r="B21" s="1" t="str">
        <f>Processzor!B12</f>
        <v/>
      </c>
      <c r="C21" s="1" t="str">
        <f>Processzor!C12</f>
        <v/>
      </c>
      <c r="D21" s="1" t="str">
        <f>Processzor!D12</f>
        <v/>
      </c>
      <c r="E21" s="18" t="str">
        <f>Processzor!E12</f>
        <v/>
      </c>
      <c r="J21" s="10"/>
    </row>
    <row r="22" spans="1:10" ht="15.75" thickBot="1" x14ac:dyDescent="0.25">
      <c r="A22" s="1">
        <f>Processzor!A13</f>
        <v>1038166</v>
      </c>
      <c r="B22" s="1" t="str">
        <f>Processzor!B13</f>
        <v>Uponor Vario Plus automata légtelenítő 3/8"</v>
      </c>
      <c r="C22" s="1">
        <f>Processzor!C13</f>
        <v>0</v>
      </c>
      <c r="D22" s="1" t="str">
        <f>Processzor!D13</f>
        <v>db</v>
      </c>
      <c r="E22" s="18">
        <f>Processzor!E13</f>
        <v>1</v>
      </c>
      <c r="G22" s="22" t="s">
        <v>84</v>
      </c>
      <c r="H22" s="22">
        <v>0</v>
      </c>
      <c r="I22" s="10" t="s">
        <v>29</v>
      </c>
    </row>
    <row r="23" spans="1:10" ht="15.75" thickBot="1" x14ac:dyDescent="0.25">
      <c r="A23" s="1">
        <f>Processzor!A14</f>
        <v>1059132</v>
      </c>
      <c r="B23" s="1" t="str">
        <f>Processzor!B14</f>
        <v>Uponor Vario golyóscsap km/bm 1"/1"</v>
      </c>
      <c r="C23" s="1">
        <f>Processzor!C14</f>
        <v>0</v>
      </c>
      <c r="D23" s="1" t="str">
        <f>Processzor!D14</f>
        <v>db</v>
      </c>
      <c r="E23" s="18">
        <f>Processzor!E14</f>
        <v>1</v>
      </c>
      <c r="G23" s="22" t="s">
        <v>84</v>
      </c>
      <c r="H23" s="23">
        <v>0</v>
      </c>
      <c r="I23" s="10" t="s">
        <v>29</v>
      </c>
    </row>
    <row r="24" spans="1:10" ht="15.75" thickBot="1" x14ac:dyDescent="0.25">
      <c r="A24" s="1">
        <f>Processzor!A15</f>
        <v>1032702</v>
      </c>
      <c r="B24" s="1" t="str">
        <f>Processzor!B15</f>
        <v>Uponor Vario Plus osztó-gyűjtő könyök</v>
      </c>
      <c r="C24" s="1">
        <f>Processzor!C15</f>
        <v>0</v>
      </c>
      <c r="D24" s="1" t="str">
        <f>Processzor!D15</f>
        <v>pár</v>
      </c>
      <c r="E24" s="18">
        <f>Processzor!E15</f>
        <v>1</v>
      </c>
      <c r="G24" s="22" t="s">
        <v>84</v>
      </c>
      <c r="H24" s="69">
        <v>0</v>
      </c>
      <c r="I24" s="10" t="s">
        <v>29</v>
      </c>
    </row>
    <row r="25" spans="1:10" ht="15.75" thickBot="1" x14ac:dyDescent="0.25">
      <c r="A25" s="1">
        <f>Processzor!A16</f>
        <v>1009209</v>
      </c>
      <c r="B25" s="1" t="str">
        <f>Processzor!B16</f>
        <v>Uponor Vario Plus osztó-gyűjtő alapkészlet</v>
      </c>
      <c r="C25" s="1">
        <f>Processzor!C16</f>
        <v>0</v>
      </c>
      <c r="D25" s="1" t="str">
        <f>Processzor!D16</f>
        <v>db</v>
      </c>
      <c r="E25" s="18">
        <f>Processzor!E16</f>
        <v>1</v>
      </c>
      <c r="G25" s="22" t="s">
        <v>84</v>
      </c>
      <c r="H25" s="22">
        <v>0</v>
      </c>
      <c r="I25" s="10" t="s">
        <v>29</v>
      </c>
    </row>
    <row r="26" spans="1:10" ht="15.75" thickBot="1" x14ac:dyDescent="0.25">
      <c r="A26" s="1" t="str">
        <f>Processzor!A17</f>
        <v/>
      </c>
      <c r="B26" s="1" t="str">
        <f>Processzor!B17</f>
        <v/>
      </c>
      <c r="C26" s="1" t="str">
        <f>Processzor!C17</f>
        <v/>
      </c>
      <c r="D26" s="1" t="str">
        <f>Processzor!D17</f>
        <v/>
      </c>
      <c r="E26" s="18" t="str">
        <f>Processzor!E17</f>
        <v/>
      </c>
      <c r="G26" s="22" t="s">
        <v>84</v>
      </c>
      <c r="H26" s="22">
        <v>0</v>
      </c>
      <c r="I26" s="10" t="s">
        <v>29</v>
      </c>
    </row>
    <row r="27" spans="1:10" ht="15.75" thickBot="1" x14ac:dyDescent="0.25">
      <c r="A27" s="1" t="str">
        <f>Processzor!A18</f>
        <v/>
      </c>
      <c r="B27" s="1" t="str">
        <f>Processzor!B18</f>
        <v/>
      </c>
      <c r="C27" s="1" t="str">
        <f>Processzor!C18</f>
        <v/>
      </c>
      <c r="D27" s="1" t="str">
        <f>Processzor!D18</f>
        <v/>
      </c>
      <c r="E27" s="18" t="str">
        <f>Processzor!E18</f>
        <v/>
      </c>
      <c r="G27" s="23" t="s">
        <v>84</v>
      </c>
      <c r="H27" s="23">
        <v>0</v>
      </c>
      <c r="I27" s="10" t="s">
        <v>29</v>
      </c>
    </row>
    <row r="28" spans="1:10" x14ac:dyDescent="0.2">
      <c r="A28" s="1" t="str">
        <f>Processzor!A19</f>
        <v/>
      </c>
      <c r="B28" s="1" t="str">
        <f>Processzor!B19</f>
        <v/>
      </c>
      <c r="C28" s="1" t="str">
        <f>Processzor!C19</f>
        <v/>
      </c>
      <c r="D28" s="1" t="str">
        <f>Processzor!D19</f>
        <v/>
      </c>
      <c r="E28" s="18" t="str">
        <f>Processzor!E19</f>
        <v/>
      </c>
    </row>
    <row r="29" spans="1:10" x14ac:dyDescent="0.2">
      <c r="A29" s="1" t="str">
        <f>Processzor!A20</f>
        <v/>
      </c>
      <c r="B29" s="1" t="str">
        <f>Processzor!B20</f>
        <v/>
      </c>
      <c r="C29" s="1" t="str">
        <f>Processzor!C20</f>
        <v/>
      </c>
      <c r="D29" s="1" t="str">
        <f>Processzor!D20</f>
        <v/>
      </c>
      <c r="E29" s="18" t="str">
        <f>Processzor!E20</f>
        <v/>
      </c>
      <c r="G29" s="15" t="s">
        <v>94</v>
      </c>
    </row>
    <row r="30" spans="1:10" x14ac:dyDescent="0.2">
      <c r="A30" s="1" t="str">
        <f>Processzor!A21</f>
        <v/>
      </c>
      <c r="B30" s="1" t="str">
        <f>Processzor!B21</f>
        <v/>
      </c>
      <c r="C30" s="1" t="str">
        <f>Processzor!C21</f>
        <v/>
      </c>
      <c r="D30" s="1" t="str">
        <f>Processzor!D21</f>
        <v/>
      </c>
      <c r="E30" s="18" t="str">
        <f>Processzor!E21</f>
        <v/>
      </c>
    </row>
    <row r="31" spans="1:10" x14ac:dyDescent="0.2">
      <c r="A31" s="1"/>
      <c r="B31" s="1"/>
      <c r="C31" s="1"/>
      <c r="D31" s="1"/>
      <c r="E31" s="18"/>
    </row>
    <row r="32" spans="1:10" ht="18.75" customHeight="1" x14ac:dyDescent="0.2">
      <c r="A32" s="70" t="s">
        <v>30</v>
      </c>
      <c r="B32" s="70"/>
      <c r="C32" s="70"/>
      <c r="D32" s="70"/>
    </row>
    <row r="33" spans="1:4" ht="18.75" customHeight="1" x14ac:dyDescent="0.2">
      <c r="A33" s="70"/>
      <c r="B33" s="70"/>
      <c r="C33" s="70"/>
      <c r="D33" s="70"/>
    </row>
  </sheetData>
  <mergeCells count="8">
    <mergeCell ref="A32:D33"/>
    <mergeCell ref="A9:D10"/>
    <mergeCell ref="G17:H17"/>
    <mergeCell ref="G20:H20"/>
    <mergeCell ref="G16:H16"/>
    <mergeCell ref="G14:H14"/>
    <mergeCell ref="A11:D11"/>
    <mergeCell ref="A12:D12"/>
  </mergeCells>
  <pageMargins left="0.7" right="0.7" top="0.75" bottom="0.75" header="0.3" footer="0.3"/>
  <pageSetup paperSize="9" orientation="portrait" verticalDpi="0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Processzor!$J$4:$S$4</xm:f>
          </x14:formula1>
          <xm:sqref>G17</xm:sqref>
        </x14:dataValidation>
        <x14:dataValidation type="list" allowBlank="1" showInputMessage="1" showErrorMessage="1" xr:uid="{18C9B741-5DC7-4088-8497-EDEEF6B790BB}">
          <x14:formula1>
            <xm:f>Processzor!$H$15:$H$20</xm:f>
          </x14:formula1>
          <xm:sqref>G22:G27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41"/>
  <sheetViews>
    <sheetView topLeftCell="AA1" workbookViewId="0">
      <selection activeCell="AA1" sqref="A1:AA1048576"/>
    </sheetView>
  </sheetViews>
  <sheetFormatPr defaultRowHeight="12.75" x14ac:dyDescent="0.2"/>
  <cols>
    <col min="1" max="1" width="14.28515625" hidden="1" customWidth="1"/>
    <col min="2" max="2" width="49.5703125" hidden="1" customWidth="1"/>
    <col min="3" max="3" width="10" hidden="1" customWidth="1"/>
    <col min="4" max="4" width="3.5703125" hidden="1" customWidth="1"/>
    <col min="5" max="5" width="4" hidden="1" customWidth="1"/>
    <col min="6" max="6" width="10.28515625" hidden="1" customWidth="1"/>
    <col min="7" max="7" width="14" hidden="1" customWidth="1"/>
    <col min="8" max="8" width="22.85546875" hidden="1" customWidth="1"/>
    <col min="9" max="9" width="5" hidden="1" customWidth="1"/>
    <col min="10" max="21" width="0" hidden="1" customWidth="1"/>
    <col min="22" max="22" width="14" hidden="1" customWidth="1"/>
    <col min="23" max="23" width="10.28515625" hidden="1" customWidth="1"/>
    <col min="24" max="24" width="12.140625" hidden="1" customWidth="1"/>
    <col min="25" max="26" width="0" hidden="1" customWidth="1"/>
  </cols>
  <sheetData>
    <row r="1" spans="1:26" ht="13.5" thickBot="1" x14ac:dyDescent="0.25">
      <c r="A1" s="35" t="s">
        <v>1</v>
      </c>
      <c r="B1" s="37" t="str">
        <f>Tétellista!G17</f>
        <v>Minitec</v>
      </c>
    </row>
    <row r="2" spans="1:26" ht="13.5" thickBot="1" x14ac:dyDescent="0.25">
      <c r="A2" s="32" t="s">
        <v>2</v>
      </c>
      <c r="B2" s="39">
        <f>SUM(Tétellista!H22:I27)</f>
        <v>0</v>
      </c>
      <c r="J2" s="80" t="s">
        <v>17</v>
      </c>
      <c r="K2" s="81"/>
      <c r="L2" s="81"/>
      <c r="M2" s="81"/>
      <c r="N2" s="81"/>
      <c r="O2" s="81"/>
      <c r="P2" s="81"/>
      <c r="Q2" s="81"/>
      <c r="R2" s="81"/>
      <c r="S2" s="82"/>
      <c r="T2" s="77" t="s">
        <v>62</v>
      </c>
      <c r="U2" s="78"/>
      <c r="V2" s="78"/>
      <c r="W2" s="78"/>
      <c r="X2" s="78"/>
      <c r="Y2" s="79"/>
      <c r="Z2" s="61" t="s">
        <v>113</v>
      </c>
    </row>
    <row r="3" spans="1:26" ht="13.5" thickBot="1" x14ac:dyDescent="0.25">
      <c r="H3" s="30"/>
      <c r="I3" s="30"/>
      <c r="J3" s="66">
        <v>9.9</v>
      </c>
      <c r="K3" s="67">
        <v>14</v>
      </c>
      <c r="L3" s="67">
        <v>16</v>
      </c>
      <c r="M3" s="67">
        <v>16</v>
      </c>
      <c r="N3" s="67">
        <v>16</v>
      </c>
      <c r="O3" s="67">
        <v>20</v>
      </c>
      <c r="P3" s="67">
        <v>16</v>
      </c>
      <c r="Q3" s="68" t="s">
        <v>3</v>
      </c>
      <c r="R3" s="42" t="s">
        <v>95</v>
      </c>
      <c r="S3" s="43" t="s">
        <v>62</v>
      </c>
      <c r="T3" s="2">
        <v>0.70635000000000003</v>
      </c>
      <c r="U3" s="2"/>
      <c r="V3" s="2"/>
      <c r="W3" s="2"/>
      <c r="X3" s="2"/>
      <c r="Y3" s="28"/>
      <c r="Z3" s="44"/>
    </row>
    <row r="4" spans="1:26" ht="13.5" thickBot="1" x14ac:dyDescent="0.25">
      <c r="A4" s="35" t="s">
        <v>7</v>
      </c>
      <c r="B4" s="36"/>
      <c r="C4" s="36"/>
      <c r="D4" s="36"/>
      <c r="E4" s="37"/>
      <c r="G4" s="5" t="s">
        <v>107</v>
      </c>
      <c r="H4" s="40" t="s">
        <v>81</v>
      </c>
      <c r="I4" s="64"/>
      <c r="J4" s="41" t="s">
        <v>0</v>
      </c>
      <c r="K4" s="42" t="s">
        <v>8</v>
      </c>
      <c r="L4" s="42" t="s">
        <v>9</v>
      </c>
      <c r="M4" s="42" t="s">
        <v>10</v>
      </c>
      <c r="N4" s="42" t="s">
        <v>18</v>
      </c>
      <c r="O4" s="42" t="s">
        <v>110</v>
      </c>
      <c r="P4" s="42" t="s">
        <v>96</v>
      </c>
      <c r="Q4" s="42" t="s">
        <v>3</v>
      </c>
      <c r="R4" s="42" t="s">
        <v>95</v>
      </c>
      <c r="S4" s="43" t="s">
        <v>62</v>
      </c>
      <c r="T4" s="42" t="s">
        <v>102</v>
      </c>
      <c r="U4" s="42" t="s">
        <v>100</v>
      </c>
      <c r="V4" s="42" t="s">
        <v>103</v>
      </c>
      <c r="W4" s="42" t="s">
        <v>104</v>
      </c>
      <c r="X4" s="42" t="s">
        <v>105</v>
      </c>
      <c r="Y4" s="43" t="s">
        <v>106</v>
      </c>
      <c r="Z4" s="64">
        <v>16</v>
      </c>
    </row>
    <row r="5" spans="1:26" x14ac:dyDescent="0.2">
      <c r="A5" s="27" t="s">
        <v>4</v>
      </c>
      <c r="B5" s="2" t="s">
        <v>5</v>
      </c>
      <c r="C5" s="2" t="s">
        <v>6</v>
      </c>
      <c r="D5" s="2"/>
      <c r="E5" s="28"/>
      <c r="G5" t="str">
        <f>Tétellista!G22</f>
        <v>Szoba</v>
      </c>
      <c r="H5" s="54">
        <f>Tétellista!H22</f>
        <v>0</v>
      </c>
      <c r="I5" s="45">
        <f t="shared" ref="I5:I10" si="0">VLOOKUP(G5,$H$15:$I$20,2,FALSE)</f>
        <v>0.15</v>
      </c>
      <c r="J5" s="36">
        <f t="shared" ref="J5:P5" si="1">ROUNDUP($H5/VLOOKUP($G5,$H$15:$M$20,MATCH(J$3,$H$14:$M$14,0),FALSE),0)</f>
        <v>0</v>
      </c>
      <c r="K5" s="36">
        <f t="shared" si="1"/>
        <v>0</v>
      </c>
      <c r="L5" s="36">
        <f t="shared" si="1"/>
        <v>0</v>
      </c>
      <c r="M5" s="36">
        <f t="shared" si="1"/>
        <v>0</v>
      </c>
      <c r="N5" s="36">
        <f t="shared" si="1"/>
        <v>0</v>
      </c>
      <c r="O5" s="36">
        <f t="shared" si="1"/>
        <v>0</v>
      </c>
      <c r="P5" s="36">
        <f t="shared" si="1"/>
        <v>0</v>
      </c>
      <c r="Q5" s="36">
        <f t="shared" ref="Q5:S10" si="2">ROUNDUP($H5/VLOOKUP($G5,$H$15:$P$20,MATCH(Q$3,$H$14:$P$14,0),FALSE),0)</f>
        <v>0</v>
      </c>
      <c r="R5" s="36">
        <f t="shared" si="2"/>
        <v>0</v>
      </c>
      <c r="S5" s="37">
        <f t="shared" si="2"/>
        <v>0</v>
      </c>
      <c r="T5" s="2">
        <f t="shared" ref="T5:T10" si="3">ROUNDUP(H5/$T$3,0)</f>
        <v>0</v>
      </c>
      <c r="U5" s="2">
        <f t="shared" ref="U5:U10" si="4">IFERROR(ROUNDUP(T5/S5,0),0)</f>
        <v>0</v>
      </c>
      <c r="V5" s="2">
        <f t="shared" ref="V5:V10" si="5">VLOOKUP(U5,$R$15:$S$37,2,FALSE)</f>
        <v>0</v>
      </c>
      <c r="W5" s="2">
        <f t="shared" ref="W5:W10" si="6">S5*2</f>
        <v>0</v>
      </c>
      <c r="X5" s="2">
        <f t="shared" ref="X5:X10" si="7">V5*S5*2</f>
        <v>0</v>
      </c>
      <c r="Y5" s="28">
        <f t="shared" ref="Y5:Y10" si="8">T5*2-X5-W5</f>
        <v>0</v>
      </c>
      <c r="Z5" s="65">
        <f t="shared" ref="Z5:Z10" si="9">H5/I5</f>
        <v>0</v>
      </c>
    </row>
    <row r="6" spans="1:26" x14ac:dyDescent="0.2">
      <c r="A6" s="27">
        <f>IF(HLOOKUP($B$1,'Rendszer cikkszámok'!$J$3:$S$11,2,FALSE)=0,"",HLOOKUP($B$1,'Rendszer cikkszámok'!$J$3:$S$11,2,FALSE))</f>
        <v>1005261</v>
      </c>
      <c r="B6" s="2" t="str">
        <f>_xlfn.IFNA(VLOOKUP(A6,'Rendszer cikkszámok'!$D$3:$E$91,2,FALSE),"")</f>
        <v>Uponor Minitec rendszerlemez 1100x700x12mm</v>
      </c>
      <c r="C6" s="7">
        <f>_xlfn.IFNA(VLOOKUP(A6,'Rendszer cikkszámok'!$D$3:$F$90,3,FALSE),"")</f>
        <v>0</v>
      </c>
      <c r="D6" s="2" t="str">
        <f>_xlfn.IFNA(VLOOKUP(A6,'Rendszer cikkszámok'!$D$3:$G$68,4,FALSE),"")</f>
        <v>m2</v>
      </c>
      <c r="E6" s="28">
        <f>_xlfn.IFNA(VLOOKUP(A6,'Rendszer cikkszámok'!$D$3:$H$68,5,FALSE),"")</f>
        <v>15.4</v>
      </c>
      <c r="G6" t="str">
        <f>Tétellista!G23</f>
        <v>Szoba</v>
      </c>
      <c r="H6" s="55">
        <f>Tétellista!H23</f>
        <v>0</v>
      </c>
      <c r="I6" s="46">
        <f t="shared" si="0"/>
        <v>0.15</v>
      </c>
      <c r="J6" s="2">
        <f>ROUNDUP(H6/VLOOKUP(G6,$H$15:$M$20,MATCH(J$3,$H$14:$M$14,0),FALSE),0)</f>
        <v>0</v>
      </c>
      <c r="K6" s="2">
        <f t="shared" ref="K6:P10" si="10">ROUNDUP($H6/VLOOKUP($G6,$H$15:$M$20,MATCH(K$3,$H$14:$M$14,0),FALSE),0)</f>
        <v>0</v>
      </c>
      <c r="L6" s="2">
        <f t="shared" si="10"/>
        <v>0</v>
      </c>
      <c r="M6" s="2">
        <f t="shared" si="10"/>
        <v>0</v>
      </c>
      <c r="N6" s="2">
        <f t="shared" si="10"/>
        <v>0</v>
      </c>
      <c r="O6" s="2">
        <f t="shared" si="10"/>
        <v>0</v>
      </c>
      <c r="P6" s="2">
        <f t="shared" si="10"/>
        <v>0</v>
      </c>
      <c r="Q6" s="2">
        <f t="shared" si="2"/>
        <v>0</v>
      </c>
      <c r="R6" s="2">
        <f t="shared" si="2"/>
        <v>0</v>
      </c>
      <c r="S6" s="28">
        <f t="shared" si="2"/>
        <v>0</v>
      </c>
      <c r="T6" s="2">
        <f t="shared" si="3"/>
        <v>0</v>
      </c>
      <c r="U6" s="2">
        <f t="shared" si="4"/>
        <v>0</v>
      </c>
      <c r="V6" s="2">
        <f t="shared" si="5"/>
        <v>0</v>
      </c>
      <c r="W6" s="2">
        <f t="shared" si="6"/>
        <v>0</v>
      </c>
      <c r="X6" s="2">
        <f t="shared" si="7"/>
        <v>0</v>
      </c>
      <c r="Y6" s="28">
        <f t="shared" si="8"/>
        <v>0</v>
      </c>
      <c r="Z6" s="62">
        <f t="shared" si="9"/>
        <v>0</v>
      </c>
    </row>
    <row r="7" spans="1:26" x14ac:dyDescent="0.2">
      <c r="A7" s="27">
        <f>IF(HLOOKUP($B$1,'Rendszer cikkszámok'!$J$3:$S$11,3,FALSE)=0,"",HLOOKUP($B$1,'Rendszer cikkszámok'!$J$3:$S$11,3,FALSE))</f>
        <v>1063289</v>
      </c>
      <c r="B7" s="2" t="str">
        <f>_xlfn.IFNA(VLOOKUP(A7,'Rendszer cikkszámok'!$D$3:$E$91,2,FALSE),"")</f>
        <v>Uponor Minitec Comfort cső 9.9x1.1 240m</v>
      </c>
      <c r="C7" s="7">
        <f>_xlfn.IFNA(VLOOKUP(A7,'Rendszer cikkszámok'!$D$3:$F$90,3,FALSE),"")</f>
        <v>0</v>
      </c>
      <c r="D7" s="2" t="str">
        <f>_xlfn.IFNA(VLOOKUP(A7,'Rendszer cikkszámok'!$D$3:$G$68,4,FALSE),"")</f>
        <v>m</v>
      </c>
      <c r="E7" s="28">
        <f>_xlfn.IFNA(VLOOKUP(A7,'Rendszer cikkszámok'!$D$3:$H$68,5,FALSE),"")</f>
        <v>240</v>
      </c>
      <c r="G7" t="str">
        <f>Tétellista!G24</f>
        <v>Szoba</v>
      </c>
      <c r="H7" s="55">
        <f>Tétellista!H24</f>
        <v>0</v>
      </c>
      <c r="I7" s="46">
        <f t="shared" si="0"/>
        <v>0.15</v>
      </c>
      <c r="J7" s="2">
        <f>ROUNDUP(H7/VLOOKUP(G7,$H$15:$M$20,MATCH(J$3,$H$14:$M$14,0),FALSE),0)</f>
        <v>0</v>
      </c>
      <c r="K7" s="2">
        <f t="shared" si="10"/>
        <v>0</v>
      </c>
      <c r="L7" s="2">
        <f t="shared" si="10"/>
        <v>0</v>
      </c>
      <c r="M7" s="2">
        <f t="shared" si="10"/>
        <v>0</v>
      </c>
      <c r="N7" s="2">
        <f t="shared" si="10"/>
        <v>0</v>
      </c>
      <c r="O7" s="2">
        <f t="shared" si="10"/>
        <v>0</v>
      </c>
      <c r="P7" s="2">
        <f t="shared" si="10"/>
        <v>0</v>
      </c>
      <c r="Q7" s="2">
        <f t="shared" si="2"/>
        <v>0</v>
      </c>
      <c r="R7" s="2">
        <f t="shared" si="2"/>
        <v>0</v>
      </c>
      <c r="S7" s="28">
        <f t="shared" si="2"/>
        <v>0</v>
      </c>
      <c r="T7" s="2">
        <f t="shared" si="3"/>
        <v>0</v>
      </c>
      <c r="U7" s="2">
        <f t="shared" si="4"/>
        <v>0</v>
      </c>
      <c r="V7" s="2">
        <f t="shared" si="5"/>
        <v>0</v>
      </c>
      <c r="W7" s="2">
        <f t="shared" si="6"/>
        <v>0</v>
      </c>
      <c r="X7" s="2">
        <f t="shared" si="7"/>
        <v>0</v>
      </c>
      <c r="Y7" s="28">
        <f t="shared" si="8"/>
        <v>0</v>
      </c>
      <c r="Z7" s="62">
        <f t="shared" si="9"/>
        <v>0</v>
      </c>
    </row>
    <row r="8" spans="1:26" x14ac:dyDescent="0.2">
      <c r="A8" s="27">
        <f>IF(HLOOKUP($B$1,'Rendszer cikkszámok'!$J$3:$S$11,4,FALSE)=0,"",HLOOKUP($B$1,'Rendszer cikkszámok'!$J$3:$S$11,4,FALSE))</f>
        <v>1005267</v>
      </c>
      <c r="B8" s="2" t="str">
        <f>_xlfn.IFNA(VLOOKUP(A8,'Rendszer cikkszámok'!$D$3:$E$91,2,FALSE),"")</f>
        <v xml:space="preserve">Uponor Minitec szegélyszigetelés 80x8 mm 20m </v>
      </c>
      <c r="C8" s="7">
        <f>_xlfn.IFNA(VLOOKUP(A8,'Rendszer cikkszámok'!$D$3:$F$90,3,FALSE),"")</f>
        <v>0</v>
      </c>
      <c r="D8" s="2" t="str">
        <f>_xlfn.IFNA(VLOOKUP(A8,'Rendszer cikkszámok'!$D$3:$G$68,4,FALSE),"")</f>
        <v>m</v>
      </c>
      <c r="E8" s="28">
        <f>_xlfn.IFNA(VLOOKUP(A8,'Rendszer cikkszámok'!$D$3:$H$68,5,FALSE),"")</f>
        <v>20</v>
      </c>
      <c r="G8" t="str">
        <f>Tétellista!G25</f>
        <v>Szoba</v>
      </c>
      <c r="H8" s="55">
        <f>Tétellista!H25</f>
        <v>0</v>
      </c>
      <c r="I8" s="46">
        <f t="shared" si="0"/>
        <v>0.15</v>
      </c>
      <c r="J8" s="2">
        <f>ROUNDUP(H8/VLOOKUP(G8,$H$15:$M$20,MATCH(J$3,$H$14:$M$14,0),FALSE),0)</f>
        <v>0</v>
      </c>
      <c r="K8" s="2">
        <f t="shared" si="10"/>
        <v>0</v>
      </c>
      <c r="L8" s="2">
        <f t="shared" si="10"/>
        <v>0</v>
      </c>
      <c r="M8" s="2">
        <f t="shared" si="10"/>
        <v>0</v>
      </c>
      <c r="N8" s="2">
        <f t="shared" si="10"/>
        <v>0</v>
      </c>
      <c r="O8" s="2">
        <f t="shared" si="10"/>
        <v>0</v>
      </c>
      <c r="P8" s="2">
        <f t="shared" si="10"/>
        <v>0</v>
      </c>
      <c r="Q8" s="2">
        <f t="shared" si="2"/>
        <v>0</v>
      </c>
      <c r="R8" s="2">
        <f t="shared" si="2"/>
        <v>0</v>
      </c>
      <c r="S8" s="28">
        <f t="shared" si="2"/>
        <v>0</v>
      </c>
      <c r="T8" s="2">
        <f t="shared" si="3"/>
        <v>0</v>
      </c>
      <c r="U8" s="2">
        <f t="shared" si="4"/>
        <v>0</v>
      </c>
      <c r="V8" s="2">
        <f t="shared" si="5"/>
        <v>0</v>
      </c>
      <c r="W8" s="2">
        <f t="shared" si="6"/>
        <v>0</v>
      </c>
      <c r="X8" s="2">
        <f t="shared" si="7"/>
        <v>0</v>
      </c>
      <c r="Y8" s="28">
        <f t="shared" si="8"/>
        <v>0</v>
      </c>
      <c r="Z8" s="62">
        <f t="shared" si="9"/>
        <v>0</v>
      </c>
    </row>
    <row r="9" spans="1:26" x14ac:dyDescent="0.2">
      <c r="A9" s="27">
        <f>IF(HLOOKUP($B$1,'Rendszer cikkszámok'!$J$3:$S$11,5,FALSE)=0,"",HLOOKUP($B$1,'Rendszer cikkszámok'!$J$3:$S$11,5,FALSE))</f>
        <v>1013426</v>
      </c>
      <c r="B9" s="2" t="str">
        <f>_xlfn.IFNA(VLOOKUP(A9,'Rendszer cikkszámok'!$D$3:$E$91,2,FALSE),"")</f>
        <v>Uponor Minitec szorítógyűrűs csavarzat 9,9×1,1-3/4"</v>
      </c>
      <c r="C9" s="7">
        <f>_xlfn.IFNA(VLOOKUP(A9,'Rendszer cikkszámok'!$D$3:$F$90,3,FALSE),"")</f>
        <v>0</v>
      </c>
      <c r="D9" s="2" t="str">
        <f>_xlfn.IFNA(VLOOKUP(A9,'Rendszer cikkszámok'!$D$3:$G$68,4,FALSE),"")</f>
        <v>db</v>
      </c>
      <c r="E9" s="28">
        <f>_xlfn.IFNA(VLOOKUP(A9,'Rendszer cikkszámok'!$D$3:$H$68,5,FALSE),"")</f>
        <v>12</v>
      </c>
      <c r="G9" t="str">
        <f>Tétellista!G26</f>
        <v>Szoba</v>
      </c>
      <c r="H9" s="55">
        <f>Tétellista!H26</f>
        <v>0</v>
      </c>
      <c r="I9" s="46">
        <f t="shared" si="0"/>
        <v>0.15</v>
      </c>
      <c r="J9" s="2">
        <f>ROUNDUP(H9/VLOOKUP(G9,$H$15:$M$20,MATCH(J$3,$H$14:$M$14,0),FALSE),0)</f>
        <v>0</v>
      </c>
      <c r="K9" s="2">
        <f t="shared" si="10"/>
        <v>0</v>
      </c>
      <c r="L9" s="2">
        <f t="shared" si="10"/>
        <v>0</v>
      </c>
      <c r="M9" s="2">
        <f t="shared" si="10"/>
        <v>0</v>
      </c>
      <c r="N9" s="2">
        <f t="shared" si="10"/>
        <v>0</v>
      </c>
      <c r="O9" s="2">
        <f t="shared" si="10"/>
        <v>0</v>
      </c>
      <c r="P9" s="2">
        <f t="shared" si="10"/>
        <v>0</v>
      </c>
      <c r="Q9" s="2">
        <f t="shared" si="2"/>
        <v>0</v>
      </c>
      <c r="R9" s="2">
        <f t="shared" si="2"/>
        <v>0</v>
      </c>
      <c r="S9" s="28">
        <f t="shared" si="2"/>
        <v>0</v>
      </c>
      <c r="T9" s="2">
        <f t="shared" si="3"/>
        <v>0</v>
      </c>
      <c r="U9" s="2">
        <f t="shared" si="4"/>
        <v>0</v>
      </c>
      <c r="V9" s="2">
        <f t="shared" si="5"/>
        <v>0</v>
      </c>
      <c r="W9" s="2">
        <f t="shared" si="6"/>
        <v>0</v>
      </c>
      <c r="X9" s="2">
        <f t="shared" si="7"/>
        <v>0</v>
      </c>
      <c r="Y9" s="28">
        <f t="shared" si="8"/>
        <v>0</v>
      </c>
      <c r="Z9" s="62">
        <f t="shared" si="9"/>
        <v>0</v>
      </c>
    </row>
    <row r="10" spans="1:26" ht="13.5" thickBot="1" x14ac:dyDescent="0.25">
      <c r="A10" s="27">
        <f>IF(HLOOKUP($B$1,'Rendszer cikkszámok'!$J$3:$S$11,6,FALSE)=0,"",HLOOKUP($B$1,'Rendszer cikkszámok'!$J$3:$S$11,6,FALSE))</f>
        <v>1063781</v>
      </c>
      <c r="B10" s="2" t="str">
        <f>_xlfn.IFNA(VLOOKUP(A10,'Rendszer cikkszámok'!$D$3:$E$91,2,FALSE),"")</f>
        <v>Uponor Multi műanyag csőrögzítő ív 9,9</v>
      </c>
      <c r="C10" s="7">
        <f>_xlfn.IFNA(VLOOKUP(A10,'Rendszer cikkszámok'!$D$3:$F$90,3,FALSE),"")</f>
        <v>0</v>
      </c>
      <c r="D10" s="2" t="str">
        <f>_xlfn.IFNA(VLOOKUP(A10,'Rendszer cikkszámok'!$D$3:$G$68,4,FALSE),"")</f>
        <v>db</v>
      </c>
      <c r="E10" s="28">
        <f>_xlfn.IFNA(VLOOKUP(A10,'Rendszer cikkszámok'!$D$3:$H$68,5,FALSE),"")</f>
        <v>50</v>
      </c>
      <c r="G10" t="str">
        <f>Tétellista!G27</f>
        <v>Szoba</v>
      </c>
      <c r="H10" s="55">
        <f>Tétellista!H27</f>
        <v>0</v>
      </c>
      <c r="I10" s="46">
        <f t="shared" si="0"/>
        <v>0.15</v>
      </c>
      <c r="J10" s="33">
        <f>ROUNDUP(H10/VLOOKUP(G10,$H$15:$M$20,MATCH(J$3,$H$14:$M$14,0),FALSE),0)</f>
        <v>0</v>
      </c>
      <c r="K10" s="33">
        <f t="shared" si="10"/>
        <v>0</v>
      </c>
      <c r="L10" s="33">
        <f t="shared" si="10"/>
        <v>0</v>
      </c>
      <c r="M10" s="33">
        <f t="shared" si="10"/>
        <v>0</v>
      </c>
      <c r="N10" s="33">
        <f t="shared" si="10"/>
        <v>0</v>
      </c>
      <c r="O10" s="33">
        <f t="shared" si="10"/>
        <v>0</v>
      </c>
      <c r="P10" s="33">
        <f t="shared" si="10"/>
        <v>0</v>
      </c>
      <c r="Q10" s="33">
        <f t="shared" si="2"/>
        <v>0</v>
      </c>
      <c r="R10" s="33">
        <f t="shared" si="2"/>
        <v>0</v>
      </c>
      <c r="S10" s="34">
        <f t="shared" si="2"/>
        <v>0</v>
      </c>
      <c r="T10" s="2">
        <f t="shared" si="3"/>
        <v>0</v>
      </c>
      <c r="U10" s="2">
        <f t="shared" si="4"/>
        <v>0</v>
      </c>
      <c r="V10" s="2">
        <f t="shared" si="5"/>
        <v>0</v>
      </c>
      <c r="W10" s="2">
        <f t="shared" si="6"/>
        <v>0</v>
      </c>
      <c r="X10" s="2">
        <f t="shared" si="7"/>
        <v>0</v>
      </c>
      <c r="Y10" s="28">
        <f t="shared" si="8"/>
        <v>0</v>
      </c>
      <c r="Z10" s="63">
        <f t="shared" si="9"/>
        <v>0</v>
      </c>
    </row>
    <row r="11" spans="1:26" ht="13.5" thickBot="1" x14ac:dyDescent="0.25">
      <c r="A11" s="27" t="str">
        <f>IF(HLOOKUP($B$1,'Rendszer cikkszámok'!$J$3:$S$11,7,FALSE)=0,"",HLOOKUP($B$1,'Rendszer cikkszámok'!$J$3:$S$11,7,FALSE))</f>
        <v/>
      </c>
      <c r="B11" s="2" t="str">
        <f>_xlfn.IFNA(VLOOKUP(A11,'Rendszer cikkszámok'!$D$3:$E$91,2,FALSE),"")</f>
        <v/>
      </c>
      <c r="C11" s="7" t="str">
        <f>_xlfn.IFNA(VLOOKUP(A11,'Rendszer cikkszámok'!$D$3:$F$90,3,FALSE),"")</f>
        <v/>
      </c>
      <c r="D11" s="2" t="str">
        <f>_xlfn.IFNA(VLOOKUP(A11,'Rendszer cikkszámok'!$D$3:$G$68,4,FALSE),"")</f>
        <v/>
      </c>
      <c r="E11" s="28" t="str">
        <f>_xlfn.IFNA(VLOOKUP(A11,'Rendszer cikkszámok'!$D$3:$H$68,5,FALSE),"")</f>
        <v/>
      </c>
      <c r="H11" s="60"/>
      <c r="I11" s="48"/>
      <c r="J11" s="33">
        <f t="shared" ref="J11:T11" si="11">SUM(J5:J10)</f>
        <v>0</v>
      </c>
      <c r="K11" s="33">
        <f t="shared" si="11"/>
        <v>0</v>
      </c>
      <c r="L11" s="33">
        <f t="shared" si="11"/>
        <v>0</v>
      </c>
      <c r="M11" s="33">
        <f t="shared" si="11"/>
        <v>0</v>
      </c>
      <c r="N11" s="33">
        <f t="shared" si="11"/>
        <v>0</v>
      </c>
      <c r="O11" s="33">
        <f t="shared" si="11"/>
        <v>0</v>
      </c>
      <c r="P11" s="47">
        <f t="shared" si="11"/>
        <v>0</v>
      </c>
      <c r="Q11" s="33">
        <f t="shared" si="11"/>
        <v>0</v>
      </c>
      <c r="R11" s="33">
        <f t="shared" si="11"/>
        <v>0</v>
      </c>
      <c r="S11" s="34">
        <f t="shared" si="11"/>
        <v>0</v>
      </c>
      <c r="T11" s="40">
        <f t="shared" si="11"/>
        <v>0</v>
      </c>
      <c r="U11" s="49"/>
      <c r="V11" s="49"/>
      <c r="W11" s="49">
        <f>SUM(W5:W10)</f>
        <v>0</v>
      </c>
      <c r="X11" s="49">
        <f>SUM(X5:X10)</f>
        <v>0</v>
      </c>
      <c r="Y11" s="50">
        <f>SUM(Y5:Y10)</f>
        <v>0</v>
      </c>
      <c r="Z11" s="63">
        <f>SUM(Z5:Z10)</f>
        <v>0</v>
      </c>
    </row>
    <row r="12" spans="1:26" ht="13.5" thickBot="1" x14ac:dyDescent="0.25">
      <c r="A12" s="27" t="str">
        <f>IF(HLOOKUP($B$1,'Rendszer cikkszámok'!$J$3:$S$11,8,FALSE)=0,"",HLOOKUP($B$1,'Rendszer cikkszámok'!$J$3:$S$11,8,FALSE))</f>
        <v/>
      </c>
      <c r="B12" s="2" t="str">
        <f>_xlfn.IFNA(VLOOKUP(A12,'Rendszer cikkszámok'!$D$3:$E$91,2,FALSE),"")</f>
        <v/>
      </c>
      <c r="C12" s="7" t="str">
        <f>_xlfn.IFNA(VLOOKUP(A12,'Rendszer cikkszámok'!$D$3:$F$90,3,FALSE),"")</f>
        <v/>
      </c>
      <c r="D12" s="2" t="str">
        <f>_xlfn.IFNA(VLOOKUP(A12,'Rendszer cikkszámok'!$D$3:$G$68,4,FALSE),"")</f>
        <v/>
      </c>
      <c r="E12" s="28" t="str">
        <f>_xlfn.IFNA(VLOOKUP(A12,'Rendszer cikkszámok'!$D$3:$H$68,5,FALSE),"")</f>
        <v/>
      </c>
    </row>
    <row r="13" spans="1:26" x14ac:dyDescent="0.2">
      <c r="A13" s="27">
        <v>1038166</v>
      </c>
      <c r="B13" s="2" t="str">
        <f>_xlfn.IFNA(VLOOKUP(A13,'Rendszer cikkszámok'!$D$3:$E$91,2,FALSE),"")</f>
        <v>Uponor Vario Plus automata légtelenítő 3/8"</v>
      </c>
      <c r="C13" s="8">
        <f>_xlfn.IFNA(VLOOKUP(A13,'Rendszer cikkszámok'!$D$3:$F$90,3,FALSE),"")</f>
        <v>0</v>
      </c>
      <c r="D13" s="2" t="str">
        <f>_xlfn.IFNA(VLOOKUP(A13,'Rendszer cikkszámok'!$D$3:$G$90,4,FALSE),"")</f>
        <v>db</v>
      </c>
      <c r="E13" s="28">
        <f>_xlfn.IFNA(VLOOKUP(A13,'Rendszer cikkszámok'!$D$3:$H$90,5,FALSE),"")</f>
        <v>1</v>
      </c>
      <c r="H13" s="35"/>
      <c r="I13" s="58"/>
      <c r="J13" s="52" t="s">
        <v>111</v>
      </c>
      <c r="K13" s="52"/>
      <c r="L13" s="52"/>
      <c r="M13" s="52"/>
      <c r="N13" s="52" t="s">
        <v>112</v>
      </c>
      <c r="O13" s="52"/>
      <c r="P13" s="53"/>
      <c r="R13" s="35"/>
      <c r="S13" s="56" t="s">
        <v>101</v>
      </c>
      <c r="U13" s="51"/>
    </row>
    <row r="14" spans="1:26" x14ac:dyDescent="0.2">
      <c r="A14" s="27">
        <v>1059132</v>
      </c>
      <c r="B14" s="2" t="str">
        <f>_xlfn.IFNA(VLOOKUP(A14,'Rendszer cikkszámok'!$D$3:$E$91,2,FALSE),"")</f>
        <v>Uponor Vario golyóscsap km/bm 1"/1"</v>
      </c>
      <c r="C14" s="8">
        <f>_xlfn.IFNA(VLOOKUP(A14,'Rendszer cikkszámok'!$D$3:$F$90,3,FALSE),"")</f>
        <v>0</v>
      </c>
      <c r="D14" s="2" t="str">
        <f>_xlfn.IFNA(VLOOKUP(A14,'Rendszer cikkszámok'!$D$3:$G$90,4,FALSE),"")</f>
        <v>db</v>
      </c>
      <c r="E14" s="28">
        <f>_xlfn.IFNA(VLOOKUP(A14,'Rendszer cikkszámok'!$D$3:$H$90,5,FALSE),"")</f>
        <v>1</v>
      </c>
      <c r="H14" s="59" t="s">
        <v>109</v>
      </c>
      <c r="I14" s="30" t="s">
        <v>108</v>
      </c>
      <c r="J14" s="2">
        <v>9.9</v>
      </c>
      <c r="K14" s="2">
        <v>14</v>
      </c>
      <c r="L14" s="2">
        <v>16</v>
      </c>
      <c r="M14" s="2">
        <v>20</v>
      </c>
      <c r="N14" s="2" t="s">
        <v>3</v>
      </c>
      <c r="O14" s="2" t="s">
        <v>95</v>
      </c>
      <c r="P14" s="28" t="s">
        <v>62</v>
      </c>
      <c r="R14" s="29" t="s">
        <v>102</v>
      </c>
      <c r="S14" s="31" t="s">
        <v>103</v>
      </c>
    </row>
    <row r="15" spans="1:26" x14ac:dyDescent="0.2">
      <c r="A15" s="27">
        <f>'Osztó Vario PLUS'!J4</f>
        <v>1032702</v>
      </c>
      <c r="B15" s="2" t="str">
        <f>_xlfn.IFNA(VLOOKUP(A15,'Rendszer cikkszámok'!$D$3:$E$91,2,FALSE),"")</f>
        <v>Uponor Vario Plus osztó-gyűjtő könyök</v>
      </c>
      <c r="C15" s="8">
        <f>_xlfn.IFNA(VLOOKUP(A15,'Rendszer cikkszámok'!$D$3:$F$90,3,FALSE),"")</f>
        <v>0</v>
      </c>
      <c r="D15" s="2" t="str">
        <f>_xlfn.IFNA(VLOOKUP(A15,'Rendszer cikkszámok'!$D$3:$G$90,4,FALSE),"")</f>
        <v>pár</v>
      </c>
      <c r="E15" s="28">
        <f>_xlfn.IFNA(VLOOKUP(A15,'Rendszer cikkszámok'!$D$3:$H$90,5,FALSE),"")</f>
        <v>1</v>
      </c>
      <c r="H15" s="29" t="s">
        <v>85</v>
      </c>
      <c r="I15" s="2">
        <v>0.15</v>
      </c>
      <c r="J15" s="2">
        <v>5</v>
      </c>
      <c r="K15" s="2">
        <v>12</v>
      </c>
      <c r="L15" s="2">
        <v>14</v>
      </c>
      <c r="M15" s="2">
        <v>18</v>
      </c>
      <c r="N15" s="2">
        <v>11.25</v>
      </c>
      <c r="O15" s="2">
        <v>13.5</v>
      </c>
      <c r="P15" s="28">
        <v>14</v>
      </c>
      <c r="R15" s="27">
        <v>0</v>
      </c>
      <c r="S15" s="28">
        <v>0</v>
      </c>
    </row>
    <row r="16" spans="1:26" x14ac:dyDescent="0.2">
      <c r="A16" s="27">
        <f>'Rendszer cikkszámok'!D47</f>
        <v>1009209</v>
      </c>
      <c r="B16" s="2" t="str">
        <f>_xlfn.IFNA(VLOOKUP(A16,'Rendszer cikkszámok'!$D$3:$E$91,2,FALSE),"")</f>
        <v>Uponor Vario Plus osztó-gyűjtő alapkészlet</v>
      </c>
      <c r="C16" s="8">
        <f>_xlfn.IFNA(VLOOKUP(A16,'Rendszer cikkszámok'!$D$3:$F$90,3,FALSE),"")</f>
        <v>0</v>
      </c>
      <c r="D16" s="2" t="str">
        <f>_xlfn.IFNA(VLOOKUP(A16,'Rendszer cikkszámok'!$D$3:$G$90,4,FALSE),"")</f>
        <v>db</v>
      </c>
      <c r="E16" s="28">
        <f>_xlfn.IFNA(VLOOKUP(A16,'Rendszer cikkszámok'!$D$3:$H$90,5,FALSE),"")</f>
        <v>1</v>
      </c>
      <c r="H16" s="29" t="s">
        <v>86</v>
      </c>
      <c r="I16" s="2">
        <v>0.15</v>
      </c>
      <c r="J16" s="2">
        <v>5</v>
      </c>
      <c r="K16" s="2">
        <v>12</v>
      </c>
      <c r="L16" s="2">
        <v>14</v>
      </c>
      <c r="M16" s="2">
        <v>18</v>
      </c>
      <c r="N16" s="2">
        <v>11.25</v>
      </c>
      <c r="O16" s="2">
        <v>13.5</v>
      </c>
      <c r="P16" s="28">
        <v>14</v>
      </c>
      <c r="R16" s="27">
        <v>1</v>
      </c>
      <c r="S16" s="28">
        <v>1</v>
      </c>
    </row>
    <row r="17" spans="1:19" x14ac:dyDescent="0.2">
      <c r="A17" s="27" t="str">
        <f>IF(_xlfn.IFNA(VLOOKUP(HLOOKUP(Processzor!$B$1,Processzor!$J$4:$S$11,8,FALSE),'Osztó Vario PLUS'!$A$4:$S$34,15,FALSE),"")=0,"",_xlfn.IFNA(VLOOKUP(HLOOKUP(Processzor!$B$1,Processzor!$J$4:$S$11,8,FALSE),'Osztó Vario PLUS'!$A$4:$S$34,15,FALSE),""))</f>
        <v/>
      </c>
      <c r="B17" s="2" t="str">
        <f>_xlfn.IFNA(VLOOKUP(A17,'Rendszer cikkszámok'!$D$3:$E$91,2,FALSE),"")</f>
        <v/>
      </c>
      <c r="C17" s="8" t="str">
        <f>_xlfn.IFNA(VLOOKUP(A17,'Rendszer cikkszámok'!$D$3:$F$90,3,FALSE),"")</f>
        <v/>
      </c>
      <c r="D17" s="2" t="str">
        <f>_xlfn.IFNA(VLOOKUP(A17,'Rendszer cikkszámok'!$D$3:$G$90,4,FALSE),"")</f>
        <v/>
      </c>
      <c r="E17" s="28" t="str">
        <f>_xlfn.IFNA(VLOOKUP(A17,'Rendszer cikkszámok'!$D$3:$H$90,5,FALSE),"")</f>
        <v/>
      </c>
      <c r="H17" s="29" t="s">
        <v>84</v>
      </c>
      <c r="I17" s="2">
        <v>0.15</v>
      </c>
      <c r="J17" s="2">
        <v>5</v>
      </c>
      <c r="K17" s="2">
        <v>12</v>
      </c>
      <c r="L17" s="2">
        <v>14</v>
      </c>
      <c r="M17" s="2">
        <v>18</v>
      </c>
      <c r="N17" s="2">
        <v>11.25</v>
      </c>
      <c r="O17" s="2">
        <v>13.5</v>
      </c>
      <c r="P17" s="28">
        <v>14</v>
      </c>
      <c r="R17" s="27">
        <v>2</v>
      </c>
      <c r="S17" s="28">
        <v>1</v>
      </c>
    </row>
    <row r="18" spans="1:19" x14ac:dyDescent="0.2">
      <c r="A18" s="27" t="str">
        <f>IF(_xlfn.IFNA(VLOOKUP(HLOOKUP(Processzor!$B$1,Processzor!$J$4:$S$11,8,FALSE),'Osztó Vario PLUS'!$A$4:$S$34,16,FALSE),"")=0,"",_xlfn.IFNA(VLOOKUP(HLOOKUP(Processzor!$B$1,Processzor!$J$4:$S$11,8,FALSE),'Osztó Vario PLUS'!$A$4:$S$34,16,FALSE),""))</f>
        <v/>
      </c>
      <c r="B18" s="2" t="str">
        <f>_xlfn.IFNA(VLOOKUP(A18,'Rendszer cikkszámok'!$D$3:$E$91,2,FALSE),"")</f>
        <v/>
      </c>
      <c r="C18" s="8" t="str">
        <f>_xlfn.IFNA(VLOOKUP(A18,'Rendszer cikkszámok'!$D$3:$F$90,3,FALSE),"")</f>
        <v/>
      </c>
      <c r="D18" s="2" t="str">
        <f>_xlfn.IFNA(VLOOKUP(A18,'Rendszer cikkszámok'!$D$3:$G$90,4,FALSE),"")</f>
        <v/>
      </c>
      <c r="E18" s="28" t="str">
        <f>_xlfn.IFNA(VLOOKUP(A18,'Rendszer cikkszámok'!$D$3:$H$90,5,FALSE),"")</f>
        <v/>
      </c>
      <c r="H18" s="29" t="s">
        <v>89</v>
      </c>
      <c r="I18" s="2">
        <v>0.15</v>
      </c>
      <c r="J18" s="2">
        <v>5</v>
      </c>
      <c r="K18" s="2">
        <v>12</v>
      </c>
      <c r="L18" s="2">
        <v>14</v>
      </c>
      <c r="M18" s="2">
        <v>18</v>
      </c>
      <c r="N18" s="2">
        <v>11.25</v>
      </c>
      <c r="O18" s="2">
        <v>13.5</v>
      </c>
      <c r="P18" s="28">
        <v>14</v>
      </c>
      <c r="R18" s="27">
        <v>3</v>
      </c>
      <c r="S18" s="28">
        <v>1</v>
      </c>
    </row>
    <row r="19" spans="1:19" x14ac:dyDescent="0.2">
      <c r="A19" s="27" t="str">
        <f>IF(_xlfn.IFNA(VLOOKUP(HLOOKUP(Processzor!$B$1,Processzor!$J$4:$S$11,8,FALSE),'Osztó Vario PLUS'!$A$4:$S$34,17,FALSE),"")=0,"",_xlfn.IFNA(VLOOKUP(HLOOKUP(Processzor!$B$1,Processzor!$J$4:$S$11,8,FALSE),'Osztó Vario PLUS'!$A$4:$S$34,17,FALSE),""))</f>
        <v/>
      </c>
      <c r="B19" s="2" t="str">
        <f>_xlfn.IFNA(VLOOKUP(A19,'Rendszer cikkszámok'!$D$3:$E$91,2,FALSE),"")</f>
        <v/>
      </c>
      <c r="C19" s="8" t="str">
        <f>_xlfn.IFNA(VLOOKUP(A19,'Rendszer cikkszámok'!$D$3:$F$90,3,FALSE),"")</f>
        <v/>
      </c>
      <c r="D19" s="2" t="str">
        <f>_xlfn.IFNA(VLOOKUP(A19,'Rendszer cikkszámok'!$D$3:$G$90,4,FALSE),"")</f>
        <v/>
      </c>
      <c r="E19" s="28" t="str">
        <f>_xlfn.IFNA(VLOOKUP(A19,'Rendszer cikkszámok'!$D$3:$H$90,5,FALSE),"")</f>
        <v/>
      </c>
      <c r="H19" s="29" t="s">
        <v>88</v>
      </c>
      <c r="I19" s="2">
        <v>0.1</v>
      </c>
      <c r="J19" s="2">
        <v>5</v>
      </c>
      <c r="K19" s="2">
        <v>12</v>
      </c>
      <c r="L19" s="2">
        <v>9</v>
      </c>
      <c r="M19" s="2">
        <v>18</v>
      </c>
      <c r="N19" s="2">
        <v>11.25</v>
      </c>
      <c r="O19" s="2">
        <v>13.5</v>
      </c>
      <c r="P19" s="28">
        <v>14</v>
      </c>
      <c r="R19" s="27">
        <v>4</v>
      </c>
      <c r="S19" s="28">
        <v>1</v>
      </c>
    </row>
    <row r="20" spans="1:19" ht="13.5" thickBot="1" x14ac:dyDescent="0.25">
      <c r="A20" s="27" t="str">
        <f>IF(_xlfn.IFNA(VLOOKUP(HLOOKUP(Processzor!$B$1,Processzor!$J$4:$S$11,8,FALSE),'Osztó Vario PLUS'!$A$4:$S$34,18,FALSE),"")=0,"",_xlfn.IFNA(VLOOKUP(HLOOKUP(Processzor!$B$1,Processzor!$J$4:$S$11,8,FALSE),'Osztó Vario PLUS'!$A$4:$S$34,18,FALSE),""))</f>
        <v/>
      </c>
      <c r="B20" s="2" t="str">
        <f>_xlfn.IFNA(VLOOKUP(A20,'Rendszer cikkszámok'!$D$3:$E$91,2,FALSE),"")</f>
        <v/>
      </c>
      <c r="C20" s="8" t="str">
        <f>_xlfn.IFNA(VLOOKUP(A20,'Rendszer cikkszámok'!$D$3:$F$90,3,FALSE),"")</f>
        <v/>
      </c>
      <c r="D20" s="2" t="str">
        <f>_xlfn.IFNA(VLOOKUP(A20,'Rendszer cikkszámok'!$D$3:$G$90,4,FALSE),"")</f>
        <v/>
      </c>
      <c r="E20" s="28" t="str">
        <f>_xlfn.IFNA(VLOOKUP(A20,'Rendszer cikkszámok'!$D$3:$H$90,5,FALSE),"")</f>
        <v/>
      </c>
      <c r="H20" s="38" t="s">
        <v>87</v>
      </c>
      <c r="I20" s="33">
        <v>0.3</v>
      </c>
      <c r="J20" s="33">
        <v>5</v>
      </c>
      <c r="K20" s="33">
        <v>12</v>
      </c>
      <c r="L20" s="33">
        <v>25</v>
      </c>
      <c r="M20" s="33">
        <v>18</v>
      </c>
      <c r="N20" s="33">
        <v>11.25</v>
      </c>
      <c r="O20" s="33">
        <v>13.5</v>
      </c>
      <c r="P20" s="34">
        <v>14</v>
      </c>
      <c r="R20" s="27">
        <v>5</v>
      </c>
      <c r="S20" s="28">
        <v>1</v>
      </c>
    </row>
    <row r="21" spans="1:19" ht="13.5" thickBot="1" x14ac:dyDescent="0.25">
      <c r="A21" s="32" t="str">
        <f>IF(_xlfn.IFNA(VLOOKUP(HLOOKUP(Processzor!$B$1,Processzor!$J$4:$S$11,8,FALSE),'Osztó Vario PLUS'!$A$4:$S$34,19,FALSE),"")=0,"",_xlfn.IFNA(VLOOKUP(HLOOKUP(Processzor!$B$1,Processzor!$J$4:$S$11,8,FALSE),'Osztó Vario PLUS'!$A$4:$S$34,19,FALSE),""))</f>
        <v/>
      </c>
      <c r="B21" s="33" t="str">
        <f>_xlfn.IFNA(VLOOKUP(A21,'Rendszer cikkszámok'!$D$3:$E$91,2,FALSE),"")</f>
        <v/>
      </c>
      <c r="C21" s="57" t="str">
        <f>_xlfn.IFNA(VLOOKUP(A21,'Rendszer cikkszámok'!$D$3:$F$90,3,FALSE),"")</f>
        <v/>
      </c>
      <c r="D21" s="33" t="str">
        <f>_xlfn.IFNA(VLOOKUP(A21,'Rendszer cikkszámok'!$D$3:$G$90,4,FALSE),"")</f>
        <v/>
      </c>
      <c r="E21" s="34" t="str">
        <f>_xlfn.IFNA(VLOOKUP(A21,'Rendszer cikkszámok'!$D$3:$H$90,5,FALSE),"")</f>
        <v/>
      </c>
      <c r="J21" s="2"/>
      <c r="R21" s="27">
        <v>6</v>
      </c>
      <c r="S21" s="28">
        <v>2</v>
      </c>
    </row>
    <row r="22" spans="1:19" x14ac:dyDescent="0.2">
      <c r="J22" s="2"/>
      <c r="R22" s="27">
        <v>7</v>
      </c>
      <c r="S22" s="28">
        <v>2</v>
      </c>
    </row>
    <row r="23" spans="1:19" x14ac:dyDescent="0.2">
      <c r="B23" t="str">
        <f>_xlfn.IFNA(VLOOKUP(A23,'Rendszer cikkszámok'!$D$3:$E$91,2,FALSE),"")</f>
        <v/>
      </c>
      <c r="C23" s="6"/>
      <c r="J23" s="2"/>
      <c r="R23" s="27">
        <v>8</v>
      </c>
      <c r="S23" s="28">
        <v>2</v>
      </c>
    </row>
    <row r="24" spans="1:19" x14ac:dyDescent="0.2">
      <c r="B24" t="str">
        <f>_xlfn.IFNA(VLOOKUP(A24,'Rendszer cikkszámok'!$D$3:$E$91,2,FALSE),"")</f>
        <v/>
      </c>
      <c r="C24" s="6"/>
      <c r="J24" s="2"/>
      <c r="R24" s="27">
        <v>9</v>
      </c>
      <c r="S24" s="28">
        <v>2</v>
      </c>
    </row>
    <row r="25" spans="1:19" x14ac:dyDescent="0.2">
      <c r="B25" t="str">
        <f>_xlfn.IFNA(VLOOKUP(A25,'Rendszer cikkszámok'!$D$3:$E$91,2,FALSE),"")</f>
        <v/>
      </c>
      <c r="J25" s="2"/>
      <c r="R25" s="27">
        <v>10</v>
      </c>
      <c r="S25" s="28">
        <v>2</v>
      </c>
    </row>
    <row r="26" spans="1:19" x14ac:dyDescent="0.2">
      <c r="J26" s="2"/>
      <c r="R26" s="27">
        <v>11</v>
      </c>
      <c r="S26" s="28">
        <v>3</v>
      </c>
    </row>
    <row r="27" spans="1:19" x14ac:dyDescent="0.2">
      <c r="J27" s="2"/>
      <c r="R27" s="27">
        <v>12</v>
      </c>
      <c r="S27" s="28">
        <v>3</v>
      </c>
    </row>
    <row r="28" spans="1:19" x14ac:dyDescent="0.2">
      <c r="J28" s="2"/>
      <c r="R28" s="27">
        <v>13</v>
      </c>
      <c r="S28" s="28">
        <v>3</v>
      </c>
    </row>
    <row r="29" spans="1:19" x14ac:dyDescent="0.2">
      <c r="J29" s="2"/>
      <c r="R29" s="27">
        <v>14</v>
      </c>
      <c r="S29" s="28">
        <v>3</v>
      </c>
    </row>
    <row r="30" spans="1:19" x14ac:dyDescent="0.2">
      <c r="B30" t="str">
        <f>_xlfn.IFNA(VLOOKUP(A30,'Rendszer cikkszámok'!$D$3:$E$91,2,FALSE),"")</f>
        <v/>
      </c>
      <c r="J30" s="2"/>
      <c r="R30" s="27">
        <v>15</v>
      </c>
      <c r="S30" s="28">
        <v>3</v>
      </c>
    </row>
    <row r="31" spans="1:19" x14ac:dyDescent="0.2">
      <c r="B31" t="str">
        <f>_xlfn.IFNA(VLOOKUP(A31,'Rendszer cikkszámok'!$D$3:$E$91,2,FALSE),"")</f>
        <v/>
      </c>
      <c r="J31" s="2"/>
      <c r="R31" s="27">
        <v>16</v>
      </c>
      <c r="S31" s="28">
        <v>4</v>
      </c>
    </row>
    <row r="32" spans="1:19" x14ac:dyDescent="0.2">
      <c r="B32" t="str">
        <f>_xlfn.IFNA(VLOOKUP(A32,'Rendszer cikkszámok'!$D$3:$E$91,2,FALSE),"")</f>
        <v/>
      </c>
      <c r="J32" s="2"/>
      <c r="R32" s="27">
        <v>17</v>
      </c>
      <c r="S32" s="28">
        <v>4</v>
      </c>
    </row>
    <row r="33" spans="2:19" x14ac:dyDescent="0.2">
      <c r="B33" t="str">
        <f>_xlfn.IFNA(VLOOKUP(A33,'Rendszer cikkszámok'!$D$3:$E$91,2,FALSE),"")</f>
        <v/>
      </c>
      <c r="J33" s="2"/>
      <c r="R33" s="27">
        <v>18</v>
      </c>
      <c r="S33" s="28">
        <v>4</v>
      </c>
    </row>
    <row r="34" spans="2:19" x14ac:dyDescent="0.2">
      <c r="B34" t="str">
        <f>_xlfn.IFNA(VLOOKUP(A34,'Rendszer cikkszámok'!$D$3:$E$91,2,FALSE),"")</f>
        <v/>
      </c>
      <c r="J34" s="2"/>
      <c r="R34" s="27">
        <v>19</v>
      </c>
      <c r="S34" s="28">
        <v>4</v>
      </c>
    </row>
    <row r="35" spans="2:19" ht="13.5" thickBot="1" x14ac:dyDescent="0.25">
      <c r="J35" s="2"/>
      <c r="R35" s="32">
        <v>20</v>
      </c>
      <c r="S35" s="34">
        <v>4</v>
      </c>
    </row>
    <row r="41" spans="2:19" ht="13.5" customHeight="1" x14ac:dyDescent="0.2"/>
  </sheetData>
  <sheetProtection algorithmName="SHA-512" hashValue="EvO6O8l31U/botDx5DhK9xOGIeqgt3Y/dgBo+Aaoi+U94/568kwGqNyVhm8k5o/x1NQUnXs2tBOvDGR3/hl2Hg==" saltValue="ij0wgqhzKYKsEVDsd+571Q==" spinCount="100000" sheet="1" objects="1" scenarios="1"/>
  <mergeCells count="2">
    <mergeCell ref="T2:Y2"/>
    <mergeCell ref="J2:S2"/>
  </mergeCells>
  <dataValidations disablePrompts="1" count="1">
    <dataValidation type="list" allowBlank="1" showInputMessage="1" showErrorMessage="1" sqref="B1" xr:uid="{00000000-0002-0000-0100-000000000000}">
      <formula1>"Minitec, Siccus, Classic, Tecto, Tacker, Minitec mennyezet"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Z34"/>
  <sheetViews>
    <sheetView topLeftCell="AA1" workbookViewId="0">
      <selection sqref="A1:Z1048576"/>
    </sheetView>
  </sheetViews>
  <sheetFormatPr defaultRowHeight="12.75" x14ac:dyDescent="0.2"/>
  <cols>
    <col min="1" max="5" width="9.140625" hidden="1" customWidth="1"/>
    <col min="6" max="6" width="11.42578125" hidden="1" customWidth="1"/>
    <col min="7" max="26" width="9.140625" hidden="1" customWidth="1"/>
  </cols>
  <sheetData>
    <row r="1" spans="1:23" x14ac:dyDescent="0.2">
      <c r="A1" s="12" t="s">
        <v>26</v>
      </c>
      <c r="T1" s="12" t="s">
        <v>27</v>
      </c>
    </row>
    <row r="2" spans="1:23" x14ac:dyDescent="0.2">
      <c r="A2" s="12">
        <v>1</v>
      </c>
      <c r="B2">
        <v>2</v>
      </c>
      <c r="C2" s="12">
        <v>3</v>
      </c>
      <c r="D2">
        <v>4</v>
      </c>
      <c r="E2" s="12">
        <v>5</v>
      </c>
      <c r="F2">
        <v>6</v>
      </c>
      <c r="G2" s="12">
        <v>7</v>
      </c>
      <c r="H2">
        <v>8</v>
      </c>
      <c r="I2" s="12">
        <v>9</v>
      </c>
      <c r="J2">
        <v>10</v>
      </c>
      <c r="K2" s="12">
        <v>11</v>
      </c>
      <c r="L2">
        <v>12</v>
      </c>
      <c r="M2" s="12">
        <v>13</v>
      </c>
      <c r="N2">
        <v>14</v>
      </c>
      <c r="O2" s="12">
        <v>15</v>
      </c>
      <c r="P2">
        <v>16</v>
      </c>
      <c r="Q2" s="12">
        <v>17</v>
      </c>
      <c r="R2">
        <v>18</v>
      </c>
      <c r="S2" s="12">
        <v>19</v>
      </c>
      <c r="T2">
        <v>20</v>
      </c>
      <c r="U2" s="12">
        <v>21</v>
      </c>
      <c r="V2">
        <v>22</v>
      </c>
      <c r="W2" s="12">
        <v>23</v>
      </c>
    </row>
    <row r="3" spans="1:23" x14ac:dyDescent="0.2">
      <c r="B3" s="4">
        <v>2</v>
      </c>
      <c r="C3" s="4">
        <v>3</v>
      </c>
      <c r="D3" s="4">
        <v>4</v>
      </c>
      <c r="E3" s="4">
        <v>5</v>
      </c>
      <c r="F3">
        <v>6</v>
      </c>
      <c r="G3" t="s">
        <v>11</v>
      </c>
      <c r="H3" t="s">
        <v>12</v>
      </c>
      <c r="I3" t="s">
        <v>66</v>
      </c>
      <c r="J3" t="s">
        <v>67</v>
      </c>
      <c r="K3" t="s">
        <v>13</v>
      </c>
      <c r="L3" t="s">
        <v>14</v>
      </c>
      <c r="M3" t="s">
        <v>15</v>
      </c>
      <c r="N3" t="s">
        <v>16</v>
      </c>
      <c r="O3" s="5"/>
    </row>
    <row r="4" spans="1:23" x14ac:dyDescent="0.2">
      <c r="B4">
        <v>1042471</v>
      </c>
      <c r="C4">
        <v>1030583</v>
      </c>
      <c r="D4">
        <v>1030584</v>
      </c>
      <c r="E4">
        <v>1030585</v>
      </c>
      <c r="F4">
        <v>6</v>
      </c>
      <c r="G4">
        <v>1038166</v>
      </c>
      <c r="H4">
        <v>1059132</v>
      </c>
      <c r="I4">
        <v>1009209</v>
      </c>
      <c r="J4">
        <v>1032702</v>
      </c>
      <c r="K4">
        <v>1046996</v>
      </c>
      <c r="L4">
        <v>1046997</v>
      </c>
      <c r="M4">
        <v>1046998</v>
      </c>
      <c r="N4">
        <v>1046999</v>
      </c>
    </row>
    <row r="5" spans="1:23" x14ac:dyDescent="0.2">
      <c r="A5">
        <v>1</v>
      </c>
      <c r="B5">
        <v>1</v>
      </c>
      <c r="C5">
        <v>0</v>
      </c>
      <c r="D5">
        <v>0</v>
      </c>
      <c r="E5">
        <v>0</v>
      </c>
      <c r="F5">
        <v>6</v>
      </c>
      <c r="G5">
        <v>2</v>
      </c>
      <c r="H5">
        <v>1</v>
      </c>
      <c r="I5">
        <v>1</v>
      </c>
      <c r="J5">
        <v>1</v>
      </c>
      <c r="K5">
        <v>1</v>
      </c>
      <c r="L5">
        <v>0</v>
      </c>
      <c r="M5">
        <v>0</v>
      </c>
      <c r="N5">
        <v>0</v>
      </c>
      <c r="O5">
        <v>1042471</v>
      </c>
      <c r="P5">
        <v>1046996</v>
      </c>
    </row>
    <row r="6" spans="1:23" x14ac:dyDescent="0.2">
      <c r="A6">
        <v>2</v>
      </c>
      <c r="B6">
        <v>2</v>
      </c>
      <c r="C6">
        <v>0</v>
      </c>
      <c r="D6">
        <v>0</v>
      </c>
      <c r="E6">
        <v>0</v>
      </c>
      <c r="F6">
        <v>6</v>
      </c>
      <c r="G6">
        <v>2</v>
      </c>
      <c r="H6">
        <v>1</v>
      </c>
      <c r="I6">
        <v>1</v>
      </c>
      <c r="J6">
        <v>1</v>
      </c>
      <c r="K6">
        <v>1</v>
      </c>
      <c r="L6">
        <v>0</v>
      </c>
      <c r="M6">
        <v>0</v>
      </c>
      <c r="N6">
        <v>0</v>
      </c>
      <c r="O6">
        <v>1042471</v>
      </c>
      <c r="P6">
        <v>1046996</v>
      </c>
    </row>
    <row r="7" spans="1:23" x14ac:dyDescent="0.2">
      <c r="A7">
        <v>3</v>
      </c>
      <c r="B7">
        <v>0</v>
      </c>
      <c r="C7">
        <v>1</v>
      </c>
      <c r="D7">
        <v>0</v>
      </c>
      <c r="E7">
        <v>0</v>
      </c>
      <c r="F7">
        <v>6</v>
      </c>
      <c r="G7">
        <v>2</v>
      </c>
      <c r="H7">
        <v>1</v>
      </c>
      <c r="I7">
        <v>1</v>
      </c>
      <c r="J7">
        <v>1</v>
      </c>
      <c r="K7">
        <v>1</v>
      </c>
      <c r="L7">
        <v>0</v>
      </c>
      <c r="M7">
        <v>0</v>
      </c>
      <c r="N7">
        <v>0</v>
      </c>
      <c r="O7">
        <v>1030583</v>
      </c>
      <c r="P7">
        <v>1046996</v>
      </c>
    </row>
    <row r="8" spans="1:23" x14ac:dyDescent="0.2">
      <c r="A8">
        <v>4</v>
      </c>
      <c r="B8">
        <v>0</v>
      </c>
      <c r="C8">
        <v>0</v>
      </c>
      <c r="D8">
        <v>1</v>
      </c>
      <c r="E8">
        <v>0</v>
      </c>
      <c r="F8">
        <v>6</v>
      </c>
      <c r="G8">
        <v>2</v>
      </c>
      <c r="H8">
        <v>1</v>
      </c>
      <c r="I8">
        <v>1</v>
      </c>
      <c r="J8">
        <v>1</v>
      </c>
      <c r="K8">
        <v>1</v>
      </c>
      <c r="L8">
        <v>0</v>
      </c>
      <c r="M8">
        <v>0</v>
      </c>
      <c r="N8">
        <v>0</v>
      </c>
      <c r="O8">
        <v>1030584</v>
      </c>
      <c r="P8">
        <v>1046996</v>
      </c>
    </row>
    <row r="9" spans="1:23" x14ac:dyDescent="0.2">
      <c r="A9">
        <v>5</v>
      </c>
      <c r="B9">
        <v>1</v>
      </c>
      <c r="C9">
        <v>0</v>
      </c>
      <c r="D9">
        <v>1</v>
      </c>
      <c r="E9">
        <v>0</v>
      </c>
      <c r="F9">
        <v>6</v>
      </c>
      <c r="G9">
        <v>2</v>
      </c>
      <c r="H9">
        <v>1</v>
      </c>
      <c r="I9">
        <v>1</v>
      </c>
      <c r="J9">
        <v>1</v>
      </c>
      <c r="K9">
        <v>1</v>
      </c>
      <c r="L9">
        <v>0</v>
      </c>
      <c r="M9">
        <v>0</v>
      </c>
      <c r="N9">
        <v>0</v>
      </c>
      <c r="O9">
        <v>1042471</v>
      </c>
      <c r="P9">
        <v>1030584</v>
      </c>
      <c r="Q9">
        <v>1046996</v>
      </c>
    </row>
    <row r="10" spans="1:23" x14ac:dyDescent="0.2">
      <c r="A10">
        <v>6</v>
      </c>
      <c r="B10">
        <v>0</v>
      </c>
      <c r="C10">
        <v>0</v>
      </c>
      <c r="D10">
        <v>0</v>
      </c>
      <c r="E10">
        <v>1</v>
      </c>
      <c r="F10">
        <v>6</v>
      </c>
      <c r="G10">
        <v>2</v>
      </c>
      <c r="H10">
        <v>1</v>
      </c>
      <c r="I10">
        <v>1</v>
      </c>
      <c r="J10">
        <v>1</v>
      </c>
      <c r="K10">
        <v>1</v>
      </c>
      <c r="L10">
        <v>0</v>
      </c>
      <c r="M10">
        <v>0</v>
      </c>
      <c r="N10">
        <v>0</v>
      </c>
      <c r="O10">
        <v>1030585</v>
      </c>
      <c r="P10">
        <v>1046996</v>
      </c>
    </row>
    <row r="11" spans="1:23" x14ac:dyDescent="0.2">
      <c r="A11">
        <v>7</v>
      </c>
      <c r="B11">
        <v>0</v>
      </c>
      <c r="C11">
        <v>1</v>
      </c>
      <c r="D11">
        <v>1</v>
      </c>
      <c r="E11">
        <v>0</v>
      </c>
      <c r="F11">
        <v>6</v>
      </c>
      <c r="G11">
        <v>2</v>
      </c>
      <c r="H11">
        <v>1</v>
      </c>
      <c r="I11">
        <v>1</v>
      </c>
      <c r="J11">
        <v>1</v>
      </c>
      <c r="K11">
        <v>0</v>
      </c>
      <c r="L11">
        <v>1</v>
      </c>
      <c r="M11">
        <v>0</v>
      </c>
      <c r="N11">
        <v>0</v>
      </c>
      <c r="O11">
        <v>1030583</v>
      </c>
      <c r="P11">
        <v>1030584</v>
      </c>
      <c r="Q11">
        <v>1046997</v>
      </c>
    </row>
    <row r="12" spans="1:23" x14ac:dyDescent="0.2">
      <c r="A12">
        <v>8</v>
      </c>
      <c r="B12">
        <v>0</v>
      </c>
      <c r="C12">
        <v>0</v>
      </c>
      <c r="D12">
        <v>2</v>
      </c>
      <c r="E12">
        <v>0</v>
      </c>
      <c r="F12">
        <v>6</v>
      </c>
      <c r="G12">
        <v>2</v>
      </c>
      <c r="H12">
        <v>1</v>
      </c>
      <c r="I12">
        <v>1</v>
      </c>
      <c r="J12">
        <v>1</v>
      </c>
      <c r="K12">
        <v>0</v>
      </c>
      <c r="L12">
        <v>1</v>
      </c>
      <c r="M12">
        <v>0</v>
      </c>
      <c r="N12">
        <v>0</v>
      </c>
      <c r="O12">
        <v>1030584</v>
      </c>
      <c r="P12">
        <v>1046997</v>
      </c>
    </row>
    <row r="13" spans="1:23" x14ac:dyDescent="0.2">
      <c r="A13">
        <v>9</v>
      </c>
      <c r="B13">
        <v>0</v>
      </c>
      <c r="C13">
        <v>1</v>
      </c>
      <c r="D13">
        <v>0</v>
      </c>
      <c r="E13">
        <v>1</v>
      </c>
      <c r="F13">
        <v>6</v>
      </c>
      <c r="G13">
        <v>2</v>
      </c>
      <c r="H13">
        <v>1</v>
      </c>
      <c r="I13">
        <v>1</v>
      </c>
      <c r="J13">
        <v>1</v>
      </c>
      <c r="K13">
        <v>0</v>
      </c>
      <c r="L13">
        <v>1</v>
      </c>
      <c r="M13">
        <v>0</v>
      </c>
      <c r="N13">
        <v>0</v>
      </c>
      <c r="O13">
        <v>1030583</v>
      </c>
      <c r="P13">
        <v>1030585</v>
      </c>
      <c r="Q13">
        <v>1046997</v>
      </c>
    </row>
    <row r="14" spans="1:23" x14ac:dyDescent="0.2">
      <c r="A14">
        <v>10</v>
      </c>
      <c r="B14">
        <v>0</v>
      </c>
      <c r="C14">
        <v>0</v>
      </c>
      <c r="D14">
        <v>1</v>
      </c>
      <c r="E14">
        <v>1</v>
      </c>
      <c r="F14">
        <v>6</v>
      </c>
      <c r="G14">
        <v>2</v>
      </c>
      <c r="H14">
        <v>1</v>
      </c>
      <c r="I14">
        <v>1</v>
      </c>
      <c r="J14">
        <v>1</v>
      </c>
      <c r="K14">
        <v>0</v>
      </c>
      <c r="L14">
        <v>0</v>
      </c>
      <c r="M14">
        <v>1</v>
      </c>
      <c r="N14">
        <v>0</v>
      </c>
      <c r="O14">
        <v>1030584</v>
      </c>
      <c r="P14">
        <v>1030585</v>
      </c>
      <c r="Q14">
        <v>1046998</v>
      </c>
    </row>
    <row r="15" spans="1:23" x14ac:dyDescent="0.2">
      <c r="A15">
        <v>11</v>
      </c>
      <c r="B15">
        <v>1</v>
      </c>
      <c r="C15">
        <v>0</v>
      </c>
      <c r="D15">
        <v>1</v>
      </c>
      <c r="E15">
        <v>1</v>
      </c>
      <c r="F15">
        <v>6</v>
      </c>
      <c r="G15">
        <v>2</v>
      </c>
      <c r="H15">
        <v>1</v>
      </c>
      <c r="I15">
        <v>1</v>
      </c>
      <c r="J15">
        <v>1</v>
      </c>
      <c r="K15">
        <v>0</v>
      </c>
      <c r="L15">
        <v>0</v>
      </c>
      <c r="M15">
        <v>0</v>
      </c>
      <c r="N15">
        <v>1</v>
      </c>
      <c r="O15">
        <v>1042471</v>
      </c>
      <c r="P15">
        <v>1030584</v>
      </c>
      <c r="Q15">
        <v>1030585</v>
      </c>
      <c r="R15">
        <v>1046999</v>
      </c>
    </row>
    <row r="16" spans="1:23" x14ac:dyDescent="0.2">
      <c r="A16">
        <v>12</v>
      </c>
      <c r="B16">
        <v>0</v>
      </c>
      <c r="C16">
        <v>0</v>
      </c>
      <c r="D16">
        <v>0</v>
      </c>
      <c r="E16">
        <v>2</v>
      </c>
      <c r="F16">
        <v>6</v>
      </c>
      <c r="G16">
        <v>2</v>
      </c>
      <c r="H16">
        <v>1</v>
      </c>
      <c r="I16">
        <v>1</v>
      </c>
      <c r="J16">
        <v>1</v>
      </c>
      <c r="K16">
        <v>0</v>
      </c>
      <c r="L16">
        <v>0</v>
      </c>
      <c r="M16">
        <v>0</v>
      </c>
      <c r="N16">
        <v>1</v>
      </c>
      <c r="O16">
        <v>1030585</v>
      </c>
      <c r="P16">
        <v>1046999</v>
      </c>
    </row>
    <row r="17" spans="1:18" x14ac:dyDescent="0.2">
      <c r="A17">
        <v>13</v>
      </c>
      <c r="B17">
        <v>1</v>
      </c>
      <c r="C17">
        <v>0</v>
      </c>
      <c r="D17">
        <v>0</v>
      </c>
      <c r="E17">
        <v>2</v>
      </c>
      <c r="F17">
        <v>6</v>
      </c>
      <c r="G17">
        <v>4</v>
      </c>
      <c r="H17">
        <v>2</v>
      </c>
      <c r="I17">
        <v>2</v>
      </c>
      <c r="J17">
        <v>2</v>
      </c>
      <c r="K17">
        <v>1</v>
      </c>
      <c r="L17">
        <v>1</v>
      </c>
      <c r="M17">
        <v>0</v>
      </c>
      <c r="N17">
        <v>0</v>
      </c>
      <c r="O17">
        <v>1042471</v>
      </c>
      <c r="P17">
        <v>1030585</v>
      </c>
      <c r="Q17">
        <v>1046996</v>
      </c>
      <c r="R17">
        <v>1046997</v>
      </c>
    </row>
    <row r="18" spans="1:18" x14ac:dyDescent="0.2">
      <c r="A18">
        <v>14</v>
      </c>
      <c r="B18">
        <v>2</v>
      </c>
      <c r="C18">
        <v>0</v>
      </c>
      <c r="D18">
        <v>0</v>
      </c>
      <c r="E18">
        <v>2</v>
      </c>
      <c r="F18">
        <v>6</v>
      </c>
      <c r="G18">
        <v>4</v>
      </c>
      <c r="H18">
        <v>2</v>
      </c>
      <c r="I18">
        <v>2</v>
      </c>
      <c r="J18">
        <v>2</v>
      </c>
      <c r="K18">
        <v>0</v>
      </c>
      <c r="L18">
        <v>2</v>
      </c>
      <c r="M18">
        <v>0</v>
      </c>
      <c r="N18">
        <v>0</v>
      </c>
      <c r="O18">
        <v>1042471</v>
      </c>
      <c r="P18">
        <v>1030585</v>
      </c>
      <c r="Q18">
        <v>1046997</v>
      </c>
    </row>
    <row r="19" spans="1:18" x14ac:dyDescent="0.2">
      <c r="A19">
        <v>15</v>
      </c>
      <c r="B19">
        <v>0</v>
      </c>
      <c r="C19">
        <v>1</v>
      </c>
      <c r="D19">
        <v>0</v>
      </c>
      <c r="E19">
        <v>2</v>
      </c>
      <c r="F19">
        <v>6</v>
      </c>
      <c r="G19">
        <v>4</v>
      </c>
      <c r="H19">
        <v>2</v>
      </c>
      <c r="I19">
        <v>2</v>
      </c>
      <c r="J19">
        <v>2</v>
      </c>
      <c r="K19">
        <v>0</v>
      </c>
      <c r="L19">
        <v>2</v>
      </c>
      <c r="M19">
        <v>0</v>
      </c>
      <c r="N19">
        <v>0</v>
      </c>
      <c r="O19">
        <v>1030583</v>
      </c>
      <c r="P19">
        <v>1030585</v>
      </c>
      <c r="Q19">
        <v>1046997</v>
      </c>
    </row>
    <row r="20" spans="1:18" x14ac:dyDescent="0.2">
      <c r="A20">
        <v>16</v>
      </c>
      <c r="B20">
        <v>0</v>
      </c>
      <c r="C20">
        <v>0</v>
      </c>
      <c r="D20">
        <v>1</v>
      </c>
      <c r="E20">
        <v>2</v>
      </c>
      <c r="F20">
        <v>6</v>
      </c>
      <c r="G20">
        <v>4</v>
      </c>
      <c r="H20">
        <v>2</v>
      </c>
      <c r="I20">
        <v>2</v>
      </c>
      <c r="J20">
        <v>2</v>
      </c>
      <c r="K20">
        <v>0</v>
      </c>
      <c r="L20">
        <v>2</v>
      </c>
      <c r="M20">
        <v>0</v>
      </c>
      <c r="N20">
        <v>0</v>
      </c>
      <c r="O20">
        <v>1030584</v>
      </c>
      <c r="P20">
        <v>1030585</v>
      </c>
      <c r="Q20">
        <v>1046997</v>
      </c>
    </row>
    <row r="21" spans="1:18" x14ac:dyDescent="0.2">
      <c r="A21">
        <v>17</v>
      </c>
      <c r="B21">
        <v>0</v>
      </c>
      <c r="C21">
        <v>0</v>
      </c>
      <c r="D21">
        <v>1</v>
      </c>
      <c r="E21">
        <v>2</v>
      </c>
      <c r="F21">
        <v>6</v>
      </c>
      <c r="G21">
        <v>4</v>
      </c>
      <c r="H21">
        <v>2</v>
      </c>
      <c r="I21">
        <v>2</v>
      </c>
      <c r="J21">
        <v>2</v>
      </c>
      <c r="K21">
        <v>0</v>
      </c>
      <c r="L21">
        <v>2</v>
      </c>
      <c r="M21">
        <v>0</v>
      </c>
      <c r="N21">
        <v>0</v>
      </c>
      <c r="O21">
        <v>1030584</v>
      </c>
      <c r="P21">
        <v>1030585</v>
      </c>
      <c r="Q21">
        <v>1046997</v>
      </c>
    </row>
    <row r="22" spans="1:18" x14ac:dyDescent="0.2">
      <c r="A22">
        <v>18</v>
      </c>
      <c r="B22">
        <v>0</v>
      </c>
      <c r="C22">
        <v>0</v>
      </c>
      <c r="D22">
        <v>0</v>
      </c>
      <c r="E22">
        <v>3</v>
      </c>
      <c r="F22">
        <v>6</v>
      </c>
      <c r="G22">
        <v>4</v>
      </c>
      <c r="H22">
        <v>2</v>
      </c>
      <c r="I22">
        <v>2</v>
      </c>
      <c r="J22">
        <v>2</v>
      </c>
      <c r="K22">
        <v>0</v>
      </c>
      <c r="L22">
        <v>2</v>
      </c>
      <c r="M22">
        <v>0</v>
      </c>
      <c r="N22">
        <v>0</v>
      </c>
      <c r="O22">
        <v>1030585</v>
      </c>
      <c r="P22">
        <v>1046997</v>
      </c>
    </row>
    <row r="23" spans="1:18" x14ac:dyDescent="0.2">
      <c r="A23">
        <v>19</v>
      </c>
      <c r="B23">
        <v>1</v>
      </c>
      <c r="C23">
        <v>0</v>
      </c>
      <c r="D23">
        <v>0</v>
      </c>
      <c r="E23">
        <v>3</v>
      </c>
      <c r="F23">
        <v>6</v>
      </c>
      <c r="G23">
        <v>4</v>
      </c>
      <c r="H23">
        <v>2</v>
      </c>
      <c r="I23">
        <v>2</v>
      </c>
      <c r="J23">
        <v>2</v>
      </c>
      <c r="K23">
        <v>0</v>
      </c>
      <c r="L23">
        <v>1</v>
      </c>
      <c r="M23">
        <v>1</v>
      </c>
      <c r="N23">
        <v>0</v>
      </c>
      <c r="O23">
        <v>1042471</v>
      </c>
      <c r="P23">
        <v>1030585</v>
      </c>
      <c r="Q23">
        <v>1046997</v>
      </c>
      <c r="R23">
        <v>1046998</v>
      </c>
    </row>
    <row r="24" spans="1:18" x14ac:dyDescent="0.2">
      <c r="A24">
        <v>20</v>
      </c>
      <c r="B24">
        <v>2</v>
      </c>
      <c r="C24">
        <v>0</v>
      </c>
      <c r="D24">
        <v>0</v>
      </c>
      <c r="E24">
        <v>3</v>
      </c>
      <c r="F24">
        <v>6</v>
      </c>
      <c r="G24">
        <v>4</v>
      </c>
      <c r="H24">
        <v>2</v>
      </c>
      <c r="I24">
        <v>2</v>
      </c>
      <c r="J24">
        <v>2</v>
      </c>
      <c r="K24">
        <v>0</v>
      </c>
      <c r="L24">
        <v>0</v>
      </c>
      <c r="M24">
        <v>2</v>
      </c>
      <c r="N24">
        <v>0</v>
      </c>
      <c r="O24">
        <v>1042471</v>
      </c>
      <c r="P24">
        <v>1030585</v>
      </c>
      <c r="Q24">
        <v>1046998</v>
      </c>
    </row>
    <row r="25" spans="1:18" x14ac:dyDescent="0.2">
      <c r="A25">
        <v>21</v>
      </c>
      <c r="B25">
        <v>0</v>
      </c>
      <c r="C25">
        <v>1</v>
      </c>
      <c r="D25">
        <v>0</v>
      </c>
      <c r="E25">
        <v>3</v>
      </c>
      <c r="F25">
        <v>6</v>
      </c>
      <c r="G25">
        <v>4</v>
      </c>
      <c r="H25">
        <v>2</v>
      </c>
      <c r="I25">
        <v>2</v>
      </c>
      <c r="J25">
        <v>2</v>
      </c>
      <c r="K25">
        <v>0</v>
      </c>
      <c r="L25">
        <v>0</v>
      </c>
      <c r="M25">
        <v>1</v>
      </c>
      <c r="N25">
        <v>1</v>
      </c>
      <c r="O25">
        <v>1030583</v>
      </c>
      <c r="P25">
        <v>1030585</v>
      </c>
      <c r="Q25">
        <v>1046998</v>
      </c>
      <c r="R25">
        <v>1046999</v>
      </c>
    </row>
    <row r="26" spans="1:18" x14ac:dyDescent="0.2">
      <c r="A26">
        <v>22</v>
      </c>
      <c r="B26">
        <v>0</v>
      </c>
      <c r="C26">
        <v>0</v>
      </c>
      <c r="D26">
        <v>1</v>
      </c>
      <c r="E26">
        <v>3</v>
      </c>
      <c r="F26">
        <v>6</v>
      </c>
      <c r="G26">
        <v>4</v>
      </c>
      <c r="H26">
        <v>2</v>
      </c>
      <c r="I26">
        <v>2</v>
      </c>
      <c r="J26">
        <v>2</v>
      </c>
      <c r="K26">
        <v>0</v>
      </c>
      <c r="L26">
        <v>0</v>
      </c>
      <c r="M26">
        <v>0</v>
      </c>
      <c r="N26">
        <v>2</v>
      </c>
      <c r="O26">
        <v>1030584</v>
      </c>
      <c r="P26">
        <v>1030585</v>
      </c>
      <c r="Q26">
        <v>1046999</v>
      </c>
    </row>
    <row r="27" spans="1:18" x14ac:dyDescent="0.2">
      <c r="A27">
        <v>23</v>
      </c>
      <c r="B27">
        <v>1</v>
      </c>
      <c r="C27">
        <v>0</v>
      </c>
      <c r="D27">
        <v>1</v>
      </c>
      <c r="E27">
        <v>3</v>
      </c>
      <c r="F27">
        <v>6</v>
      </c>
      <c r="G27">
        <v>4</v>
      </c>
      <c r="H27">
        <v>2</v>
      </c>
      <c r="I27">
        <v>2</v>
      </c>
      <c r="J27">
        <v>2</v>
      </c>
      <c r="K27">
        <v>0</v>
      </c>
      <c r="L27">
        <v>0</v>
      </c>
      <c r="M27">
        <v>0</v>
      </c>
      <c r="N27">
        <v>2</v>
      </c>
      <c r="O27">
        <v>1042471</v>
      </c>
      <c r="P27">
        <v>1030584</v>
      </c>
      <c r="Q27">
        <v>1030585</v>
      </c>
      <c r="R27">
        <v>1046999</v>
      </c>
    </row>
    <row r="28" spans="1:18" x14ac:dyDescent="0.2">
      <c r="A28">
        <v>24</v>
      </c>
      <c r="B28">
        <v>0</v>
      </c>
      <c r="C28">
        <v>0</v>
      </c>
      <c r="D28">
        <v>0</v>
      </c>
      <c r="E28">
        <v>4</v>
      </c>
      <c r="F28">
        <v>6</v>
      </c>
      <c r="G28">
        <v>4</v>
      </c>
      <c r="H28">
        <v>2</v>
      </c>
      <c r="I28">
        <v>2</v>
      </c>
      <c r="J28">
        <v>2</v>
      </c>
      <c r="K28">
        <v>0</v>
      </c>
      <c r="L28">
        <v>0</v>
      </c>
      <c r="M28">
        <v>0</v>
      </c>
      <c r="N28">
        <v>2</v>
      </c>
      <c r="O28">
        <v>1030585</v>
      </c>
      <c r="P28">
        <v>1046999</v>
      </c>
    </row>
    <row r="29" spans="1:18" x14ac:dyDescent="0.2">
      <c r="A29">
        <v>25</v>
      </c>
      <c r="B29">
        <v>1</v>
      </c>
      <c r="C29">
        <v>0</v>
      </c>
      <c r="D29">
        <v>0</v>
      </c>
      <c r="E29">
        <v>4</v>
      </c>
      <c r="F29">
        <v>6</v>
      </c>
      <c r="G29">
        <v>6</v>
      </c>
      <c r="H29">
        <v>3</v>
      </c>
      <c r="I29">
        <v>3</v>
      </c>
      <c r="J29">
        <v>3</v>
      </c>
      <c r="K29">
        <v>0</v>
      </c>
      <c r="L29">
        <v>3</v>
      </c>
      <c r="M29">
        <v>0</v>
      </c>
      <c r="N29">
        <v>0</v>
      </c>
      <c r="O29">
        <v>1042471</v>
      </c>
      <c r="P29">
        <v>1030585</v>
      </c>
      <c r="Q29">
        <v>1046997</v>
      </c>
    </row>
    <row r="30" spans="1:18" x14ac:dyDescent="0.2">
      <c r="A30">
        <v>26</v>
      </c>
      <c r="B30">
        <v>2</v>
      </c>
      <c r="C30">
        <v>0</v>
      </c>
      <c r="D30">
        <v>0</v>
      </c>
      <c r="E30">
        <v>4</v>
      </c>
      <c r="F30">
        <v>6</v>
      </c>
      <c r="G30">
        <v>6</v>
      </c>
      <c r="H30">
        <v>3</v>
      </c>
      <c r="I30">
        <v>3</v>
      </c>
      <c r="J30">
        <v>3</v>
      </c>
      <c r="K30">
        <v>0</v>
      </c>
      <c r="L30">
        <v>3</v>
      </c>
      <c r="M30">
        <v>0</v>
      </c>
      <c r="N30">
        <v>0</v>
      </c>
      <c r="O30">
        <v>1042471</v>
      </c>
      <c r="P30">
        <v>1030585</v>
      </c>
      <c r="Q30">
        <v>1046997</v>
      </c>
    </row>
    <row r="31" spans="1:18" x14ac:dyDescent="0.2">
      <c r="A31">
        <v>27</v>
      </c>
      <c r="B31">
        <v>0</v>
      </c>
      <c r="C31">
        <v>1</v>
      </c>
      <c r="D31">
        <v>0</v>
      </c>
      <c r="E31">
        <v>4</v>
      </c>
      <c r="F31">
        <v>6</v>
      </c>
      <c r="G31">
        <v>6</v>
      </c>
      <c r="H31">
        <v>3</v>
      </c>
      <c r="I31">
        <v>3</v>
      </c>
      <c r="J31">
        <v>3</v>
      </c>
      <c r="K31">
        <v>0</v>
      </c>
      <c r="L31">
        <v>3</v>
      </c>
      <c r="M31">
        <v>0</v>
      </c>
      <c r="N31">
        <v>0</v>
      </c>
      <c r="O31">
        <v>1030583</v>
      </c>
      <c r="P31">
        <v>1030585</v>
      </c>
      <c r="Q31">
        <v>1046997</v>
      </c>
    </row>
    <row r="32" spans="1:18" x14ac:dyDescent="0.2">
      <c r="A32">
        <v>28</v>
      </c>
      <c r="B32">
        <v>0</v>
      </c>
      <c r="C32">
        <v>0</v>
      </c>
      <c r="D32">
        <v>1</v>
      </c>
      <c r="E32">
        <v>4</v>
      </c>
      <c r="F32">
        <v>6</v>
      </c>
      <c r="G32">
        <v>6</v>
      </c>
      <c r="H32">
        <v>3</v>
      </c>
      <c r="I32">
        <v>3</v>
      </c>
      <c r="J32">
        <v>3</v>
      </c>
      <c r="K32">
        <v>0</v>
      </c>
      <c r="L32">
        <v>2</v>
      </c>
      <c r="M32">
        <v>1</v>
      </c>
      <c r="N32">
        <v>0</v>
      </c>
      <c r="O32">
        <v>1030584</v>
      </c>
      <c r="P32">
        <v>1030585</v>
      </c>
      <c r="Q32">
        <v>1046997</v>
      </c>
      <c r="R32">
        <v>1046998</v>
      </c>
    </row>
    <row r="33" spans="1:19" x14ac:dyDescent="0.2">
      <c r="A33">
        <v>29</v>
      </c>
      <c r="B33">
        <v>1</v>
      </c>
      <c r="C33">
        <v>0</v>
      </c>
      <c r="D33">
        <v>1</v>
      </c>
      <c r="E33">
        <v>4</v>
      </c>
      <c r="F33">
        <v>6</v>
      </c>
      <c r="G33">
        <v>6</v>
      </c>
      <c r="H33">
        <v>3</v>
      </c>
      <c r="I33">
        <v>3</v>
      </c>
      <c r="J33">
        <v>3</v>
      </c>
      <c r="K33">
        <v>0</v>
      </c>
      <c r="L33">
        <v>1</v>
      </c>
      <c r="M33">
        <v>2</v>
      </c>
      <c r="N33">
        <v>0</v>
      </c>
      <c r="O33">
        <v>1042471</v>
      </c>
      <c r="P33">
        <v>1030584</v>
      </c>
      <c r="Q33">
        <v>1030585</v>
      </c>
      <c r="R33">
        <v>1046997</v>
      </c>
      <c r="S33">
        <v>1046998</v>
      </c>
    </row>
    <row r="34" spans="1:19" x14ac:dyDescent="0.2">
      <c r="A34">
        <v>30</v>
      </c>
      <c r="B34">
        <v>0</v>
      </c>
      <c r="C34">
        <v>0</v>
      </c>
      <c r="D34">
        <v>0</v>
      </c>
      <c r="E34">
        <v>5</v>
      </c>
      <c r="F34">
        <v>6</v>
      </c>
      <c r="G34">
        <v>6</v>
      </c>
      <c r="H34">
        <v>3</v>
      </c>
      <c r="I34">
        <v>3</v>
      </c>
      <c r="J34">
        <v>3</v>
      </c>
      <c r="K34">
        <v>0</v>
      </c>
      <c r="L34">
        <v>0</v>
      </c>
      <c r="M34">
        <v>3</v>
      </c>
      <c r="N34">
        <v>0</v>
      </c>
      <c r="O34">
        <v>1030585</v>
      </c>
      <c r="P34">
        <v>1046998</v>
      </c>
    </row>
  </sheetData>
  <sheetProtection algorithmName="SHA-512" hashValue="6fsmwdoyve/rN7/Z+jCGnS1GU3QLzfRnu0OlwP0DrbAb6rv4xhrRpHXpAB+87IaG2og99p480JcZvaPoaL3Ncg==" saltValue="EzkChqSjLdl9swKDTQzhFw==" spinCount="100000" sheet="1" objects="1" scenarios="1"/>
  <conditionalFormatting sqref="B6:E34 G6:N34">
    <cfRule type="cellIs" dxfId="15" priority="17" stopIfTrue="1" operator="greaterThan">
      <formula>0</formula>
    </cfRule>
  </conditionalFormatting>
  <conditionalFormatting sqref="P17 P19 P21 P23 P25 P27:Q27 P33:Q33 P29:P32">
    <cfRule type="cellIs" dxfId="14" priority="16" stopIfTrue="1" operator="greaterThan">
      <formula>0</formula>
    </cfRule>
  </conditionalFormatting>
  <conditionalFormatting sqref="P11">
    <cfRule type="cellIs" dxfId="13" priority="13" stopIfTrue="1" operator="greaterThan">
      <formula>0</formula>
    </cfRule>
  </conditionalFormatting>
  <conditionalFormatting sqref="P9">
    <cfRule type="cellIs" dxfId="12" priority="12" stopIfTrue="1" operator="greaterThan">
      <formula>0</formula>
    </cfRule>
  </conditionalFormatting>
  <conditionalFormatting sqref="P15">
    <cfRule type="cellIs" dxfId="11" priority="11" stopIfTrue="1" operator="greaterThan">
      <formula>0</formula>
    </cfRule>
  </conditionalFormatting>
  <conditionalFormatting sqref="P13">
    <cfRule type="cellIs" dxfId="10" priority="10" stopIfTrue="1" operator="greaterThan">
      <formula>0</formula>
    </cfRule>
  </conditionalFormatting>
  <conditionalFormatting sqref="P14">
    <cfRule type="cellIs" dxfId="9" priority="9" stopIfTrue="1" operator="greaterThan">
      <formula>0</formula>
    </cfRule>
  </conditionalFormatting>
  <conditionalFormatting sqref="Q15">
    <cfRule type="cellIs" dxfId="8" priority="8" stopIfTrue="1" operator="greaterThan">
      <formula>0</formula>
    </cfRule>
  </conditionalFormatting>
  <conditionalFormatting sqref="P18">
    <cfRule type="cellIs" dxfId="7" priority="7" stopIfTrue="1" operator="greaterThan">
      <formula>0</formula>
    </cfRule>
  </conditionalFormatting>
  <conditionalFormatting sqref="P20">
    <cfRule type="cellIs" dxfId="6" priority="6" stopIfTrue="1" operator="greaterThan">
      <formula>0</formula>
    </cfRule>
  </conditionalFormatting>
  <conditionalFormatting sqref="P24">
    <cfRule type="cellIs" dxfId="5" priority="5" stopIfTrue="1" operator="greaterThan">
      <formula>0</formula>
    </cfRule>
  </conditionalFormatting>
  <conditionalFormatting sqref="P26">
    <cfRule type="cellIs" dxfId="4" priority="4" stopIfTrue="1" operator="greaterThan">
      <formula>0</formula>
    </cfRule>
  </conditionalFormatting>
  <conditionalFormatting sqref="O4:T11 O21:T34 O12:S20">
    <cfRule type="cellIs" dxfId="3" priority="3" stopIfTrue="1" operator="greaterThan">
      <formula>0</formula>
    </cfRule>
  </conditionalFormatting>
  <conditionalFormatting sqref="G5:K5">
    <cfRule type="cellIs" dxfId="2" priority="2" stopIfTrue="1" operator="greaterThan">
      <formula>0</formula>
    </cfRule>
  </conditionalFormatting>
  <conditionalFormatting sqref="B5">
    <cfRule type="cellIs" dxfId="1" priority="1" stopIfTrue="1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S70"/>
  <sheetViews>
    <sheetView topLeftCell="J16" workbookViewId="0">
      <selection activeCell="A16" sqref="A1:I1048576"/>
    </sheetView>
  </sheetViews>
  <sheetFormatPr defaultRowHeight="12.75" x14ac:dyDescent="0.2"/>
  <cols>
    <col min="1" max="1" width="9.140625" hidden="1" customWidth="1"/>
    <col min="2" max="2" width="57.5703125" hidden="1" customWidth="1"/>
    <col min="3" max="4" width="9.140625" hidden="1" customWidth="1"/>
    <col min="5" max="5" width="57.5703125" hidden="1" customWidth="1"/>
    <col min="6" max="6" width="10.28515625" hidden="1" customWidth="1"/>
    <col min="7" max="9" width="8" hidden="1" customWidth="1"/>
    <col min="10" max="10" width="16.85546875" customWidth="1"/>
    <col min="11" max="12" width="8" customWidth="1"/>
    <col min="13" max="13" width="8.42578125" customWidth="1"/>
    <col min="14" max="14" width="8" customWidth="1"/>
    <col min="15" max="15" width="8" bestFit="1" customWidth="1"/>
    <col min="16" max="16" width="8" customWidth="1"/>
    <col min="17" max="20" width="9.140625" customWidth="1"/>
  </cols>
  <sheetData>
    <row r="1" spans="1:19" x14ac:dyDescent="0.2">
      <c r="A1" s="13" t="s">
        <v>25</v>
      </c>
      <c r="B1" s="11"/>
      <c r="D1" s="12" t="s">
        <v>23</v>
      </c>
      <c r="J1" s="12" t="s">
        <v>24</v>
      </c>
    </row>
    <row r="3" spans="1:19" x14ac:dyDescent="0.2">
      <c r="A3" t="s">
        <v>0</v>
      </c>
      <c r="D3">
        <v>1063289</v>
      </c>
      <c r="E3" s="5" t="s">
        <v>63</v>
      </c>
      <c r="F3">
        <f>Processzor!$B$2/0.1</f>
        <v>0</v>
      </c>
      <c r="G3" s="5" t="s">
        <v>20</v>
      </c>
      <c r="H3">
        <v>240</v>
      </c>
      <c r="J3" t="s">
        <v>0</v>
      </c>
      <c r="K3" t="s">
        <v>8</v>
      </c>
      <c r="L3" t="s">
        <v>9</v>
      </c>
      <c r="M3" t="s">
        <v>3</v>
      </c>
      <c r="N3" t="s">
        <v>10</v>
      </c>
      <c r="O3" t="s">
        <v>95</v>
      </c>
      <c r="P3" t="s">
        <v>18</v>
      </c>
      <c r="Q3" s="5" t="s">
        <v>110</v>
      </c>
      <c r="R3" s="5" t="s">
        <v>62</v>
      </c>
      <c r="S3" s="5" t="s">
        <v>96</v>
      </c>
    </row>
    <row r="4" spans="1:19" x14ac:dyDescent="0.2">
      <c r="A4">
        <v>1005261</v>
      </c>
      <c r="B4" s="5" t="str">
        <f>VLOOKUP(A4,$D$3:$E$35,2,FALSE)</f>
        <v>Uponor Minitec rendszerlemez 1100x700x12mm</v>
      </c>
      <c r="D4">
        <v>1062884</v>
      </c>
      <c r="E4" s="5" t="s">
        <v>32</v>
      </c>
      <c r="F4" s="6">
        <f>Processzor!$B$2/0.15</f>
        <v>0</v>
      </c>
      <c r="G4" s="5" t="s">
        <v>20</v>
      </c>
      <c r="H4">
        <v>240</v>
      </c>
      <c r="J4">
        <f>A4</f>
        <v>1005261</v>
      </c>
      <c r="K4">
        <f t="shared" ref="K4:K9" si="0">A11</f>
        <v>1005485</v>
      </c>
      <c r="L4">
        <f>A19</f>
        <v>1062045</v>
      </c>
      <c r="M4">
        <f t="shared" ref="M4:M11" si="1">A26</f>
        <v>1061171</v>
      </c>
      <c r="N4">
        <f t="shared" ref="N4:N9" si="2">A36</f>
        <v>1090924</v>
      </c>
      <c r="O4">
        <f t="shared" ref="O4:O10" si="3">A44</f>
        <v>1005274</v>
      </c>
      <c r="P4">
        <v>1062045</v>
      </c>
      <c r="Q4">
        <v>1009230</v>
      </c>
      <c r="R4">
        <v>1090937</v>
      </c>
      <c r="S4">
        <v>1087302</v>
      </c>
    </row>
    <row r="5" spans="1:19" x14ac:dyDescent="0.2">
      <c r="A5">
        <v>1063289</v>
      </c>
      <c r="B5" s="5" t="str">
        <f>VLOOKUP(A5,$D$3:$E$35,2,FALSE)</f>
        <v>Uponor Minitec Comfort cső 9.9x1.1 240m</v>
      </c>
      <c r="D5">
        <v>1062045</v>
      </c>
      <c r="E5" s="5" t="s">
        <v>33</v>
      </c>
      <c r="F5" s="6">
        <f>Processzor!Z11</f>
        <v>0</v>
      </c>
      <c r="G5" s="5" t="s">
        <v>20</v>
      </c>
      <c r="H5">
        <v>240</v>
      </c>
      <c r="J5">
        <f>A5</f>
        <v>1063289</v>
      </c>
      <c r="K5">
        <f t="shared" si="0"/>
        <v>1005486</v>
      </c>
      <c r="L5">
        <f>A20</f>
        <v>1005049</v>
      </c>
      <c r="M5">
        <f t="shared" si="1"/>
        <v>1061172</v>
      </c>
      <c r="N5">
        <f t="shared" si="2"/>
        <v>1086529</v>
      </c>
      <c r="O5">
        <f t="shared" si="3"/>
        <v>1063289</v>
      </c>
      <c r="P5">
        <v>1005477</v>
      </c>
      <c r="Q5">
        <v>1065290</v>
      </c>
      <c r="R5">
        <v>1039950</v>
      </c>
      <c r="S5">
        <v>1063322</v>
      </c>
    </row>
    <row r="6" spans="1:19" x14ac:dyDescent="0.2">
      <c r="A6">
        <v>1005267</v>
      </c>
      <c r="B6" s="5" t="str">
        <f>VLOOKUP(A6,$D$3:$E$35,2,FALSE)</f>
        <v xml:space="preserve">Uponor Minitec szegélyszigetelés 80x8 mm 20m </v>
      </c>
      <c r="D6">
        <v>1009230</v>
      </c>
      <c r="E6" s="5" t="s">
        <v>34</v>
      </c>
      <c r="F6" s="6">
        <f>Processzor!$B$2/0.15</f>
        <v>0</v>
      </c>
      <c r="G6" s="5" t="s">
        <v>20</v>
      </c>
      <c r="H6">
        <v>240</v>
      </c>
      <c r="J6">
        <f>A6</f>
        <v>1005267</v>
      </c>
      <c r="K6">
        <f>A13</f>
        <v>1005049</v>
      </c>
      <c r="L6">
        <f>A21</f>
        <v>1000080</v>
      </c>
      <c r="M6">
        <f>A28</f>
        <v>1005264</v>
      </c>
      <c r="N6">
        <f>A38</f>
        <v>1062045</v>
      </c>
      <c r="O6">
        <f>A46</f>
        <v>1020543</v>
      </c>
      <c r="P6">
        <v>1000080</v>
      </c>
      <c r="Q6">
        <v>1012864</v>
      </c>
      <c r="R6">
        <v>1039937</v>
      </c>
      <c r="S6">
        <v>1000080</v>
      </c>
    </row>
    <row r="7" spans="1:19" x14ac:dyDescent="0.2">
      <c r="A7">
        <v>1013426</v>
      </c>
      <c r="B7" s="5" t="str">
        <f>VLOOKUP(A7,$D$3:$E$35,2,FALSE)</f>
        <v>Uponor Minitec szorítógyűrűs csavarzat 9,9×1,1-3/4"</v>
      </c>
      <c r="D7">
        <v>1020543</v>
      </c>
      <c r="E7" s="5" t="s">
        <v>35</v>
      </c>
      <c r="F7">
        <f>IF(Processzor!$B$1="Renovis",Processzor!$Q$11*30,IF(Processzor!$B$1="Minitec Mennyezet",Processzor!$R$11*30,0))</f>
        <v>0</v>
      </c>
      <c r="G7" s="5" t="s">
        <v>20</v>
      </c>
      <c r="H7">
        <v>60</v>
      </c>
      <c r="J7">
        <f>A7</f>
        <v>1013426</v>
      </c>
      <c r="K7">
        <f t="shared" si="0"/>
        <v>1062884</v>
      </c>
      <c r="L7">
        <f>A22</f>
        <v>1065284</v>
      </c>
      <c r="M7">
        <f t="shared" si="1"/>
        <v>1020518</v>
      </c>
      <c r="N7">
        <f t="shared" si="2"/>
        <v>1000080</v>
      </c>
      <c r="O7">
        <f t="shared" si="3"/>
        <v>1020518</v>
      </c>
      <c r="P7">
        <v>1065284</v>
      </c>
      <c r="Q7">
        <v>1005376</v>
      </c>
      <c r="R7">
        <v>1039933</v>
      </c>
      <c r="S7">
        <v>1065284</v>
      </c>
    </row>
    <row r="8" spans="1:19" ht="14.25" x14ac:dyDescent="0.2">
      <c r="A8">
        <v>1063781</v>
      </c>
      <c r="B8" s="5" t="str">
        <f>VLOOKUP(A8,$D$3:$E$35,2,FALSE)</f>
        <v>Uponor Multi műanyag csőrögzítő ív 9,9</v>
      </c>
      <c r="D8">
        <v>1005261</v>
      </c>
      <c r="E8" s="5" t="s">
        <v>36</v>
      </c>
      <c r="F8">
        <f>Processzor!$B$2</f>
        <v>0</v>
      </c>
      <c r="G8" s="5" t="s">
        <v>22</v>
      </c>
      <c r="H8">
        <v>15.4</v>
      </c>
      <c r="J8">
        <f>A8</f>
        <v>1063781</v>
      </c>
      <c r="K8">
        <f t="shared" si="0"/>
        <v>1065283</v>
      </c>
      <c r="L8">
        <f>A23</f>
        <v>1009004</v>
      </c>
      <c r="M8">
        <f t="shared" si="1"/>
        <v>1020524</v>
      </c>
      <c r="N8">
        <f t="shared" si="2"/>
        <v>1065284</v>
      </c>
      <c r="O8">
        <f t="shared" si="3"/>
        <v>1020524</v>
      </c>
      <c r="P8">
        <v>1009004</v>
      </c>
      <c r="R8">
        <v>1063557</v>
      </c>
      <c r="S8">
        <v>1009004</v>
      </c>
    </row>
    <row r="9" spans="1:19" x14ac:dyDescent="0.2">
      <c r="B9" s="5"/>
      <c r="D9">
        <v>1005267</v>
      </c>
      <c r="E9" s="5" t="s">
        <v>37</v>
      </c>
      <c r="F9">
        <f>Processzor!$B$2</f>
        <v>0</v>
      </c>
      <c r="G9" s="5" t="s">
        <v>20</v>
      </c>
      <c r="H9">
        <v>20</v>
      </c>
      <c r="K9">
        <f t="shared" si="0"/>
        <v>1009004</v>
      </c>
      <c r="M9">
        <f t="shared" si="1"/>
        <v>1020543</v>
      </c>
      <c r="N9">
        <f t="shared" si="2"/>
        <v>1009004</v>
      </c>
      <c r="O9">
        <f t="shared" si="3"/>
        <v>1065290</v>
      </c>
    </row>
    <row r="10" spans="1:19" ht="14.25" x14ac:dyDescent="0.2">
      <c r="A10" t="s">
        <v>8</v>
      </c>
      <c r="B10" s="5"/>
      <c r="D10">
        <v>1005485</v>
      </c>
      <c r="E10" s="5" t="s">
        <v>38</v>
      </c>
      <c r="F10">
        <f>Processzor!$B$2</f>
        <v>0</v>
      </c>
      <c r="G10" s="5" t="s">
        <v>22</v>
      </c>
      <c r="H10">
        <v>12.5</v>
      </c>
      <c r="M10">
        <f t="shared" si="1"/>
        <v>1065290</v>
      </c>
      <c r="O10">
        <f t="shared" si="3"/>
        <v>1009233</v>
      </c>
    </row>
    <row r="11" spans="1:19" x14ac:dyDescent="0.2">
      <c r="A11">
        <v>1005485</v>
      </c>
      <c r="B11" s="5" t="str">
        <f t="shared" ref="B11:B16" si="4">VLOOKUP(A11,$D$3:$E$35,2,FALSE)</f>
        <v>Uponor Siccus rendszerlemez 1197x1050x25mm</v>
      </c>
      <c r="D11">
        <v>1005486</v>
      </c>
      <c r="E11" s="5" t="s">
        <v>39</v>
      </c>
      <c r="F11">
        <f>Processzor!$B$2*5</f>
        <v>0</v>
      </c>
      <c r="G11" s="5" t="s">
        <v>21</v>
      </c>
      <c r="H11">
        <v>48</v>
      </c>
      <c r="M11">
        <f t="shared" si="1"/>
        <v>1009233</v>
      </c>
    </row>
    <row r="12" spans="1:19" ht="14.25" x14ac:dyDescent="0.2">
      <c r="A12">
        <v>1005486</v>
      </c>
      <c r="B12" s="5" t="str">
        <f t="shared" si="4"/>
        <v xml:space="preserve">Uponor Siccus hőelosztó lemez </v>
      </c>
      <c r="D12">
        <v>1005049</v>
      </c>
      <c r="E12" s="5" t="s">
        <v>40</v>
      </c>
      <c r="F12">
        <f>Processzor!$B$2</f>
        <v>0</v>
      </c>
      <c r="G12" s="5" t="s">
        <v>22</v>
      </c>
      <c r="H12">
        <v>75</v>
      </c>
    </row>
    <row r="13" spans="1:19" x14ac:dyDescent="0.2">
      <c r="A13">
        <v>1005049</v>
      </c>
      <c r="B13" s="5" t="str">
        <f t="shared" si="4"/>
        <v xml:space="preserve">Uponor Multi fólia PE, 0,2mm, 60x1,25m 75m2 </v>
      </c>
      <c r="D13">
        <v>1000080</v>
      </c>
      <c r="E13" s="5" t="s">
        <v>41</v>
      </c>
      <c r="F13">
        <f>Processzor!$B$2</f>
        <v>0</v>
      </c>
      <c r="G13" s="5" t="s">
        <v>20</v>
      </c>
      <c r="H13">
        <v>50</v>
      </c>
      <c r="J13" s="12"/>
    </row>
    <row r="14" spans="1:19" x14ac:dyDescent="0.2">
      <c r="A14">
        <v>1062884</v>
      </c>
      <c r="B14" s="5" t="str">
        <f t="shared" si="4"/>
        <v>Uponor Comfort Plus cső 14x2,0 240m</v>
      </c>
      <c r="D14">
        <v>1061171</v>
      </c>
      <c r="E14" s="5" t="s">
        <v>42</v>
      </c>
      <c r="F14">
        <f>ROUND(Processzor!$B$2*0.9/1.25,0)</f>
        <v>0</v>
      </c>
      <c r="G14" s="5" t="s">
        <v>21</v>
      </c>
      <c r="H14">
        <v>1</v>
      </c>
    </row>
    <row r="15" spans="1:19" x14ac:dyDescent="0.2">
      <c r="A15">
        <v>1065283</v>
      </c>
      <c r="B15" s="5" t="str">
        <f t="shared" si="4"/>
        <v>Uponor Vario PE-Xa Eurokónuszos csavarzat 14x2,0-3/4"</v>
      </c>
      <c r="D15">
        <v>1061172</v>
      </c>
      <c r="E15" s="5" t="s">
        <v>43</v>
      </c>
      <c r="F15">
        <f>ROUND(Processzor!$B$2*0.1/0.75,0)</f>
        <v>0</v>
      </c>
      <c r="G15" s="5" t="s">
        <v>21</v>
      </c>
      <c r="H15">
        <v>1</v>
      </c>
    </row>
    <row r="16" spans="1:19" x14ac:dyDescent="0.2">
      <c r="A16">
        <v>1009004</v>
      </c>
      <c r="B16" s="5" t="str">
        <f t="shared" si="4"/>
        <v>Uponor Multi acél csővezető ív 14-16</v>
      </c>
      <c r="D16">
        <v>1005264</v>
      </c>
      <c r="E16" s="5" t="s">
        <v>44</v>
      </c>
      <c r="F16">
        <f>IF(Processzor!$B$1="Renovis",ROUND($F$14/3*2,-1),IF(Processzor!$B$1="Minitec Mennyezet",10,0))</f>
        <v>0</v>
      </c>
      <c r="G16" s="5" t="s">
        <v>21</v>
      </c>
      <c r="H16">
        <v>10</v>
      </c>
    </row>
    <row r="17" spans="1:12" x14ac:dyDescent="0.2">
      <c r="B17" s="5"/>
      <c r="D17">
        <v>1020518</v>
      </c>
      <c r="E17" s="5" t="s">
        <v>45</v>
      </c>
      <c r="F17">
        <f>IF(Processzor!$B$1="Renovis",Processzor!Q11*2,Processzor!R11*2)</f>
        <v>0</v>
      </c>
      <c r="G17" s="5" t="s">
        <v>21</v>
      </c>
      <c r="H17">
        <v>5</v>
      </c>
    </row>
    <row r="18" spans="1:12" x14ac:dyDescent="0.2">
      <c r="A18" t="s">
        <v>9</v>
      </c>
      <c r="B18" s="5"/>
      <c r="D18">
        <v>1020524</v>
      </c>
      <c r="E18" s="5" t="s">
        <v>46</v>
      </c>
      <c r="F18">
        <f>IF(Processzor!$B$1="Renovis",ROUND($F$14/9*4,-1),IF(Processzor!$B$1="Minitec Mennyezet",Processzor!$R$11*4,0))</f>
        <v>0</v>
      </c>
      <c r="G18" s="5" t="s">
        <v>21</v>
      </c>
      <c r="H18">
        <v>5</v>
      </c>
    </row>
    <row r="19" spans="1:12" ht="14.25" x14ac:dyDescent="0.2">
      <c r="A19">
        <v>1062045</v>
      </c>
      <c r="B19" s="5" t="str">
        <f>VLOOKUP(A19,$D$3:$E$35,2,FALSE)</f>
        <v>Uponor Comfort Plus cső 16x2,0 240m</v>
      </c>
      <c r="D19">
        <v>1090924</v>
      </c>
      <c r="E19" s="5" t="s">
        <v>47</v>
      </c>
      <c r="F19">
        <f>Processzor!$B$2</f>
        <v>0</v>
      </c>
      <c r="G19" s="5" t="s">
        <v>22</v>
      </c>
      <c r="H19">
        <v>10</v>
      </c>
    </row>
    <row r="20" spans="1:12" x14ac:dyDescent="0.2">
      <c r="A20">
        <v>1005049</v>
      </c>
      <c r="B20" s="5" t="str">
        <f>VLOOKUP(A20,$D$3:$E$35,2,FALSE)</f>
        <v xml:space="preserve">Uponor Multi fólia PE, 0,2mm, 60x1,25m 75m2 </v>
      </c>
      <c r="D20">
        <v>1086529</v>
      </c>
      <c r="E20" s="5" t="s">
        <v>48</v>
      </c>
      <c r="F20">
        <f>ROUNDUP(F5*2.5,0)</f>
        <v>0</v>
      </c>
      <c r="G20" s="5" t="s">
        <v>21</v>
      </c>
      <c r="H20">
        <v>1000</v>
      </c>
    </row>
    <row r="21" spans="1:12" x14ac:dyDescent="0.2">
      <c r="A21">
        <v>1000080</v>
      </c>
      <c r="B21" s="5" t="str">
        <f>VLOOKUP(A21,$D$3:$E$35,2,FALSE)</f>
        <v>Uponor Multi szegélyszigetelés 150x10 mm 50m - ragasztócsíkkal</v>
      </c>
      <c r="D21">
        <v>1005274</v>
      </c>
      <c r="E21" s="5" t="s">
        <v>49</v>
      </c>
      <c r="F21">
        <f>Processzor!$B$2*3</f>
        <v>0</v>
      </c>
      <c r="G21" s="5" t="s">
        <v>20</v>
      </c>
      <c r="H21">
        <v>25</v>
      </c>
    </row>
    <row r="22" spans="1:12" x14ac:dyDescent="0.2">
      <c r="A22">
        <v>1065284</v>
      </c>
      <c r="B22" s="5" t="str">
        <f>VLOOKUP(A22,$D$3:$E$35,2,FALSE)</f>
        <v>Uponor Vario PE-Xa Eurokónuszos csavarzat 16x2,0-3/4"</v>
      </c>
      <c r="D22">
        <v>1013426</v>
      </c>
      <c r="E22" s="5" t="s">
        <v>65</v>
      </c>
      <c r="F22">
        <f>Processzor!$J$11*2</f>
        <v>0</v>
      </c>
      <c r="G22" s="5" t="s">
        <v>21</v>
      </c>
      <c r="H22">
        <v>12</v>
      </c>
    </row>
    <row r="23" spans="1:12" x14ac:dyDescent="0.2">
      <c r="A23">
        <v>1009004</v>
      </c>
      <c r="B23" s="5" t="str">
        <f>VLOOKUP(A23,$D$3:$E$35,2,FALSE)</f>
        <v>Uponor Multi acél csővezető ív 14-16</v>
      </c>
      <c r="D23">
        <v>1065283</v>
      </c>
      <c r="E23" s="5" t="s">
        <v>50</v>
      </c>
      <c r="F23">
        <f>Processzor!$K$11*2</f>
        <v>0</v>
      </c>
      <c r="G23" s="5" t="s">
        <v>21</v>
      </c>
      <c r="H23">
        <v>25</v>
      </c>
    </row>
    <row r="24" spans="1:12" x14ac:dyDescent="0.2">
      <c r="B24" s="5"/>
      <c r="D24">
        <v>1065284</v>
      </c>
      <c r="E24" s="5" t="s">
        <v>58</v>
      </c>
      <c r="F24">
        <f>Processzor!$L$11*2</f>
        <v>0</v>
      </c>
      <c r="G24" s="5" t="s">
        <v>21</v>
      </c>
      <c r="H24">
        <v>25</v>
      </c>
    </row>
    <row r="25" spans="1:12" x14ac:dyDescent="0.2">
      <c r="A25" t="s">
        <v>3</v>
      </c>
      <c r="B25" s="5"/>
      <c r="D25">
        <v>1065290</v>
      </c>
      <c r="E25" s="5" t="s">
        <v>59</v>
      </c>
      <c r="F25">
        <f>IF(Processzor!$B$1="Renovis",Processzor!$Q$11*2,Processzor!$R$11*2)</f>
        <v>0</v>
      </c>
      <c r="G25" s="5" t="s">
        <v>21</v>
      </c>
      <c r="H25">
        <v>25</v>
      </c>
    </row>
    <row r="26" spans="1:12" x14ac:dyDescent="0.2">
      <c r="A26">
        <v>1061171</v>
      </c>
      <c r="B26" s="5" t="str">
        <f t="shared" ref="B26:B33" si="5">VLOOKUP(A26,$D$3:$E$35,2,FALSE)</f>
        <v>Uponor Renovis Panel 2×0,625m</v>
      </c>
      <c r="D26">
        <v>1063781</v>
      </c>
      <c r="E26" s="5" t="s">
        <v>51</v>
      </c>
      <c r="F26">
        <f>Processzor!$J$11*2</f>
        <v>0</v>
      </c>
      <c r="G26" s="5" t="s">
        <v>21</v>
      </c>
      <c r="H26">
        <v>50</v>
      </c>
      <c r="L26" s="6"/>
    </row>
    <row r="27" spans="1:12" x14ac:dyDescent="0.2">
      <c r="A27">
        <v>1061172</v>
      </c>
      <c r="B27" s="5" t="str">
        <f t="shared" si="5"/>
        <v>Uponor Renovis Panel 1,2×0,625m</v>
      </c>
      <c r="D27">
        <v>1009004</v>
      </c>
      <c r="E27" s="5" t="s">
        <v>52</v>
      </c>
      <c r="F27">
        <f>IF(Processzor!$B$1="Siccus",Processzor!$K$11*2,Processzor!$L$11*2)</f>
        <v>0</v>
      </c>
      <c r="G27" s="5" t="s">
        <v>21</v>
      </c>
      <c r="H27">
        <v>10</v>
      </c>
      <c r="L27" s="5"/>
    </row>
    <row r="28" spans="1:12" x14ac:dyDescent="0.2">
      <c r="A28">
        <v>1005264</v>
      </c>
      <c r="B28" s="5" t="str">
        <f t="shared" si="5"/>
        <v>Uponor Q&amp;E toldó gyűrűvel 9,9</v>
      </c>
      <c r="D28">
        <v>1009233</v>
      </c>
      <c r="E28" s="5" t="s">
        <v>53</v>
      </c>
      <c r="F28">
        <f>IF(Processzor!$B$1="Renovis",Processzor!$Q$11*2,Processzor!$R$11*2)</f>
        <v>0</v>
      </c>
      <c r="G28" s="5" t="s">
        <v>21</v>
      </c>
      <c r="H28">
        <v>20</v>
      </c>
    </row>
    <row r="29" spans="1:12" x14ac:dyDescent="0.2">
      <c r="A29">
        <v>1020518</v>
      </c>
      <c r="B29" s="5" t="str">
        <f t="shared" si="5"/>
        <v>Uponor Q&amp;E réz szűkítő 20x9,9</v>
      </c>
      <c r="D29">
        <v>1038166</v>
      </c>
      <c r="E29" s="5" t="s">
        <v>54</v>
      </c>
      <c r="F29">
        <f>_xlfn.IFNA(VLOOKUP(HLOOKUP(Processzor!$B$1,Processzor!$J$4:$S$11,8,FALSE),'Osztó Vario PLUS'!$A$4:$S$34,MATCH(D29,'Osztó Vario PLUS'!$A$4:$S$4,0),FALSE),0)</f>
        <v>0</v>
      </c>
      <c r="G29" s="5" t="s">
        <v>21</v>
      </c>
      <c r="H29">
        <v>1</v>
      </c>
    </row>
    <row r="30" spans="1:12" x14ac:dyDescent="0.2">
      <c r="A30">
        <v>1020524</v>
      </c>
      <c r="B30" s="5" t="str">
        <f t="shared" si="5"/>
        <v>Uponor Q&amp;E réz T 20x9,9x20</v>
      </c>
      <c r="D30">
        <v>1059132</v>
      </c>
      <c r="E30" s="5" t="s">
        <v>55</v>
      </c>
      <c r="F30">
        <f>_xlfn.IFNA(VLOOKUP(HLOOKUP(Processzor!$B$1,Processzor!$J$4:$S$11,8,FALSE),'Osztó Vario PLUS'!$A$4:$S$34,MATCH(D30,'Osztó Vario PLUS'!$A$4:$S$4,0),FALSE),0)</f>
        <v>0</v>
      </c>
      <c r="G30" s="5" t="s">
        <v>21</v>
      </c>
      <c r="H30">
        <v>1</v>
      </c>
    </row>
    <row r="31" spans="1:12" x14ac:dyDescent="0.2">
      <c r="A31">
        <v>1020543</v>
      </c>
      <c r="B31" s="5" t="str">
        <f t="shared" si="5"/>
        <v>Uponor Comfort Plus 20×2.0 S9-es szigetelt cső 60m</v>
      </c>
      <c r="D31">
        <v>1046996</v>
      </c>
      <c r="E31" s="5" t="s">
        <v>90</v>
      </c>
      <c r="F31">
        <f>_xlfn.IFNA(VLOOKUP(HLOOKUP(Processzor!$B$1,Processzor!$J$4:$S$11,8,FALSE),'Osztó Vario PLUS'!$A$4:$S$34,MATCH(D31,'Osztó Vario PLUS'!$A$4:$S$4,0),FALSE),0)</f>
        <v>0</v>
      </c>
      <c r="G31" s="5" t="s">
        <v>21</v>
      </c>
      <c r="H31">
        <v>1</v>
      </c>
    </row>
    <row r="32" spans="1:12" x14ac:dyDescent="0.2">
      <c r="A32">
        <v>1065290</v>
      </c>
      <c r="B32" s="5" t="str">
        <f t="shared" si="5"/>
        <v>Uponor Vario PE-Xa Eurokónuszos csavarzat 20x2,0-3/4"</v>
      </c>
      <c r="D32">
        <v>1046997</v>
      </c>
      <c r="E32" s="5" t="s">
        <v>91</v>
      </c>
      <c r="F32">
        <f>_xlfn.IFNA(VLOOKUP(HLOOKUP(Processzor!$B$1,Processzor!$J$4:$S$11,8,FALSE),'Osztó Vario PLUS'!$A$4:$S$34,MATCH(D32,'Osztó Vario PLUS'!$A$4:$S$4,0),FALSE),0)</f>
        <v>0</v>
      </c>
      <c r="G32" s="5" t="s">
        <v>21</v>
      </c>
      <c r="H32">
        <v>1</v>
      </c>
    </row>
    <row r="33" spans="1:8" x14ac:dyDescent="0.2">
      <c r="A33">
        <v>1009233</v>
      </c>
      <c r="B33" s="5" t="str">
        <f t="shared" si="5"/>
        <v>Uponor Multi acél csővezető ív 20</v>
      </c>
      <c r="D33">
        <v>1046998</v>
      </c>
      <c r="E33" s="5" t="s">
        <v>92</v>
      </c>
      <c r="F33">
        <f>_xlfn.IFNA(VLOOKUP(HLOOKUP(Processzor!$B$1,Processzor!$J$4:$S$11,8,FALSE),'Osztó Vario PLUS'!$A$4:$S$34,MATCH(D33,'Osztó Vario PLUS'!$A$4:$S$4,0),FALSE),0)</f>
        <v>0</v>
      </c>
      <c r="G33" s="5" t="s">
        <v>21</v>
      </c>
      <c r="H33">
        <v>1</v>
      </c>
    </row>
    <row r="34" spans="1:8" x14ac:dyDescent="0.2">
      <c r="B34" s="5"/>
      <c r="D34">
        <v>1046999</v>
      </c>
      <c r="E34" s="5" t="s">
        <v>93</v>
      </c>
      <c r="F34">
        <f>_xlfn.IFNA(VLOOKUP(HLOOKUP(Processzor!$B$1,Processzor!$J$4:$S$11,8,FALSE),'Osztó Vario PLUS'!$A$4:$S$34,MATCH(D34,'Osztó Vario PLUS'!$A$4:$S$4,0),FALSE),0)</f>
        <v>0</v>
      </c>
      <c r="G34" s="5" t="s">
        <v>21</v>
      </c>
      <c r="H34">
        <v>1</v>
      </c>
    </row>
    <row r="35" spans="1:8" ht="14.25" x14ac:dyDescent="0.2">
      <c r="A35" t="s">
        <v>10</v>
      </c>
      <c r="B35" s="5"/>
      <c r="D35">
        <v>1005477</v>
      </c>
      <c r="E35" s="5" t="s">
        <v>56</v>
      </c>
      <c r="F35" s="6">
        <f>Processzor!B2</f>
        <v>0</v>
      </c>
      <c r="G35" s="5" t="s">
        <v>22</v>
      </c>
      <c r="H35">
        <v>15.68</v>
      </c>
    </row>
    <row r="36" spans="1:8" x14ac:dyDescent="0.2">
      <c r="A36">
        <v>1090924</v>
      </c>
      <c r="B36" s="5" t="str">
        <f t="shared" ref="B36:B41" si="6">VLOOKUP(A36,$D$3:$E$35,2,FALSE)</f>
        <v>Uponor Tacker Panel 30mm DES 30-2</v>
      </c>
      <c r="D36">
        <v>1012864</v>
      </c>
      <c r="E36" s="5" t="s">
        <v>60</v>
      </c>
      <c r="F36">
        <f>Processzor!O11*4</f>
        <v>0</v>
      </c>
      <c r="G36" s="5" t="s">
        <v>20</v>
      </c>
      <c r="H36">
        <v>50</v>
      </c>
    </row>
    <row r="37" spans="1:8" x14ac:dyDescent="0.2">
      <c r="A37">
        <v>1086529</v>
      </c>
      <c r="B37" s="5" t="str">
        <f t="shared" si="6"/>
        <v>Uponor Tacker rögzítő tüske, 14-20mm, H=40mm</v>
      </c>
      <c r="D37">
        <v>1005376</v>
      </c>
      <c r="E37" t="s">
        <v>61</v>
      </c>
      <c r="F37">
        <f>Processzor!O11*2</f>
        <v>0</v>
      </c>
      <c r="G37" s="5" t="s">
        <v>21</v>
      </c>
      <c r="H37">
        <v>1</v>
      </c>
    </row>
    <row r="38" spans="1:8" x14ac:dyDescent="0.2">
      <c r="A38">
        <v>1062045</v>
      </c>
      <c r="B38" s="5" t="str">
        <f t="shared" si="6"/>
        <v>Uponor Comfort Plus cső 16x2,0 240m</v>
      </c>
      <c r="D38">
        <v>1090937</v>
      </c>
      <c r="E38" t="s">
        <v>69</v>
      </c>
      <c r="F38">
        <f>Processzor!T11</f>
        <v>0</v>
      </c>
      <c r="G38" s="5" t="s">
        <v>21</v>
      </c>
      <c r="H38">
        <v>1</v>
      </c>
    </row>
    <row r="39" spans="1:8" x14ac:dyDescent="0.2">
      <c r="A39">
        <v>1000080</v>
      </c>
      <c r="B39" s="5" t="str">
        <f t="shared" si="6"/>
        <v>Uponor Multi szegélyszigetelés 150x10 mm 50m - ragasztócsíkkal</v>
      </c>
      <c r="D39">
        <v>1039950</v>
      </c>
      <c r="E39" t="s">
        <v>70</v>
      </c>
      <c r="F39">
        <f>Processzor!X11</f>
        <v>0</v>
      </c>
      <c r="G39" s="5" t="s">
        <v>21</v>
      </c>
      <c r="H39">
        <v>10</v>
      </c>
    </row>
    <row r="40" spans="1:8" x14ac:dyDescent="0.2">
      <c r="A40">
        <v>1065284</v>
      </c>
      <c r="B40" s="5" t="str">
        <f t="shared" si="6"/>
        <v>Uponor Vario PE-Xa Eurokónuszos csavarzat 16x2,0-3/4"</v>
      </c>
      <c r="D40">
        <v>1039937</v>
      </c>
      <c r="E40" t="s">
        <v>71</v>
      </c>
      <c r="F40">
        <f>Processzor!W11</f>
        <v>0</v>
      </c>
      <c r="G40" s="5" t="s">
        <v>21</v>
      </c>
      <c r="H40">
        <v>10</v>
      </c>
    </row>
    <row r="41" spans="1:8" x14ac:dyDescent="0.2">
      <c r="A41">
        <v>1009004</v>
      </c>
      <c r="B41" s="5" t="str">
        <f t="shared" si="6"/>
        <v>Uponor Multi acél csővezető ív 14-16</v>
      </c>
      <c r="D41">
        <v>1039933</v>
      </c>
      <c r="E41" t="s">
        <v>72</v>
      </c>
      <c r="F41" s="5">
        <f>Processzor!Y11</f>
        <v>0</v>
      </c>
      <c r="G41" s="5" t="s">
        <v>21</v>
      </c>
      <c r="H41">
        <v>10</v>
      </c>
    </row>
    <row r="42" spans="1:8" x14ac:dyDescent="0.2">
      <c r="B42" s="5"/>
      <c r="D42">
        <v>1063557</v>
      </c>
      <c r="E42" t="s">
        <v>73</v>
      </c>
      <c r="F42">
        <f>Processzor!S11*30</f>
        <v>0</v>
      </c>
      <c r="G42" s="5" t="s">
        <v>20</v>
      </c>
      <c r="H42">
        <v>75</v>
      </c>
    </row>
    <row r="43" spans="1:8" x14ac:dyDescent="0.2">
      <c r="A43" t="s">
        <v>95</v>
      </c>
      <c r="B43" s="5"/>
      <c r="D43">
        <v>1042471</v>
      </c>
      <c r="E43" s="5" t="s">
        <v>74</v>
      </c>
      <c r="F43">
        <f>_xlfn.IFNA(VLOOKUP(HLOOKUP(Processzor!$B$1,Processzor!$J$4:$S$11,8,FALSE),'Osztó Vario PLUS'!$A$4:$S$34,MATCH(D43,'Osztó Vario PLUS'!$A$4:$S$4,0),FALSE),0)</f>
        <v>0</v>
      </c>
      <c r="G43" s="5" t="s">
        <v>21</v>
      </c>
      <c r="H43">
        <v>1</v>
      </c>
    </row>
    <row r="44" spans="1:8" x14ac:dyDescent="0.2">
      <c r="A44">
        <v>1005274</v>
      </c>
      <c r="B44" s="5" t="str">
        <f t="shared" ref="B44:B50" si="7">VLOOKUP(A44,$D$3:$E$35,2,FALSE)</f>
        <v>Uponor Fix tartósín 9,9mm</v>
      </c>
      <c r="D44">
        <v>1030583</v>
      </c>
      <c r="E44" s="5" t="s">
        <v>75</v>
      </c>
      <c r="F44">
        <f>_xlfn.IFNA(VLOOKUP(HLOOKUP(Processzor!$B$1,Processzor!$J$4:$S$11,8,FALSE),'Osztó Vario PLUS'!$A$4:$S$34,MATCH(D44,'Osztó Vario PLUS'!$A$4:$S$4,0),FALSE),0)</f>
        <v>0</v>
      </c>
      <c r="G44" s="5" t="s">
        <v>21</v>
      </c>
      <c r="H44">
        <v>1</v>
      </c>
    </row>
    <row r="45" spans="1:8" x14ac:dyDescent="0.2">
      <c r="A45">
        <v>1063289</v>
      </c>
      <c r="B45" s="5" t="str">
        <f t="shared" si="7"/>
        <v>Uponor Minitec Comfort cső 9.9x1.1 240m</v>
      </c>
      <c r="D45">
        <v>1030584</v>
      </c>
      <c r="E45" s="5" t="s">
        <v>76</v>
      </c>
      <c r="F45">
        <f>_xlfn.IFNA(VLOOKUP(HLOOKUP(Processzor!$B$1,Processzor!$J$4:$S$11,8,FALSE),'Osztó Vario PLUS'!$A$4:$S$34,MATCH(D45,'Osztó Vario PLUS'!$A$4:$S$4,0),FALSE),0)</f>
        <v>0</v>
      </c>
      <c r="G45" s="5" t="s">
        <v>21</v>
      </c>
      <c r="H45">
        <v>1</v>
      </c>
    </row>
    <row r="46" spans="1:8" x14ac:dyDescent="0.2">
      <c r="A46">
        <v>1020543</v>
      </c>
      <c r="B46" s="5" t="str">
        <f t="shared" si="7"/>
        <v>Uponor Comfort Plus 20×2.0 S9-es szigetelt cső 60m</v>
      </c>
      <c r="D46">
        <v>1030585</v>
      </c>
      <c r="E46" s="5" t="s">
        <v>77</v>
      </c>
      <c r="F46">
        <f>_xlfn.IFNA(VLOOKUP(HLOOKUP(Processzor!$B$1,Processzor!$J$4:$S$11,8,FALSE),'Osztó Vario PLUS'!$A$4:$S$34,MATCH(D46,'Osztó Vario PLUS'!$A$4:$S$4,0),FALSE),0)</f>
        <v>0</v>
      </c>
      <c r="G46" s="5" t="s">
        <v>21</v>
      </c>
      <c r="H46">
        <v>1</v>
      </c>
    </row>
    <row r="47" spans="1:8" x14ac:dyDescent="0.2">
      <c r="A47">
        <v>1020518</v>
      </c>
      <c r="B47" s="5" t="str">
        <f t="shared" si="7"/>
        <v>Uponor Q&amp;E réz szűkítő 20x9,9</v>
      </c>
      <c r="D47">
        <v>1009209</v>
      </c>
      <c r="E47" s="5" t="s">
        <v>78</v>
      </c>
      <c r="F47">
        <f>_xlfn.IFNA(VLOOKUP(HLOOKUP(Processzor!$B$1,Processzor!$J$4:$S$11,8,FALSE),'Osztó Vario PLUS'!$A$4:$S$34,MATCH(D47,'Osztó Vario PLUS'!$A$4:$S$4,0),FALSE),0)</f>
        <v>0</v>
      </c>
      <c r="G47" s="5" t="s">
        <v>21</v>
      </c>
      <c r="H47">
        <v>1</v>
      </c>
    </row>
    <row r="48" spans="1:8" x14ac:dyDescent="0.2">
      <c r="A48">
        <v>1020524</v>
      </c>
      <c r="B48" s="5" t="str">
        <f t="shared" si="7"/>
        <v>Uponor Q&amp;E réz T 20x9,9x20</v>
      </c>
      <c r="D48">
        <v>1012860</v>
      </c>
      <c r="E48" s="5" t="s">
        <v>79</v>
      </c>
      <c r="F48">
        <v>50</v>
      </c>
      <c r="G48" s="5" t="s">
        <v>21</v>
      </c>
      <c r="H48">
        <v>50</v>
      </c>
    </row>
    <row r="49" spans="1:8" x14ac:dyDescent="0.2">
      <c r="A49">
        <v>1065290</v>
      </c>
      <c r="B49" s="5" t="str">
        <f t="shared" si="7"/>
        <v>Uponor Vario PE-Xa Eurokónuszos csavarzat 20x2,0-3/4"</v>
      </c>
      <c r="D49">
        <v>1032702</v>
      </c>
      <c r="E49" s="5" t="s">
        <v>80</v>
      </c>
      <c r="F49">
        <f>_xlfn.IFNA(VLOOKUP(HLOOKUP(Processzor!$B$1,Processzor!$J$4:$S$11,8,FALSE),'Osztó Vario PLUS'!$A$4:$S$34,MATCH(D49,'Osztó Vario PLUS'!$A$4:$S$4,0),FALSE),0)</f>
        <v>0</v>
      </c>
      <c r="G49" s="5" t="s">
        <v>68</v>
      </c>
      <c r="H49">
        <v>1</v>
      </c>
    </row>
    <row r="50" spans="1:8" x14ac:dyDescent="0.2">
      <c r="A50">
        <v>1009233</v>
      </c>
      <c r="B50" s="5" t="str">
        <f t="shared" si="7"/>
        <v>Uponor Multi acél csővezető ív 20</v>
      </c>
      <c r="D50">
        <v>1087302</v>
      </c>
      <c r="E50" s="5" t="s">
        <v>97</v>
      </c>
      <c r="F50" s="6">
        <f>Processzor!Z11</f>
        <v>0</v>
      </c>
      <c r="G50" s="5" t="s">
        <v>20</v>
      </c>
      <c r="H50">
        <v>240</v>
      </c>
    </row>
    <row r="51" spans="1:8" x14ac:dyDescent="0.2">
      <c r="B51" s="5"/>
      <c r="D51">
        <v>1063322</v>
      </c>
      <c r="E51" s="5" t="s">
        <v>99</v>
      </c>
      <c r="F51" s="6">
        <f>Processzor!$B$2</f>
        <v>0</v>
      </c>
      <c r="G51" s="5" t="s">
        <v>98</v>
      </c>
      <c r="H51">
        <v>10</v>
      </c>
    </row>
    <row r="52" spans="1:8" x14ac:dyDescent="0.2">
      <c r="A52" t="s">
        <v>18</v>
      </c>
      <c r="B52" s="5"/>
    </row>
    <row r="53" spans="1:8" x14ac:dyDescent="0.2">
      <c r="A53">
        <v>1062045</v>
      </c>
      <c r="B53" s="5" t="str">
        <f>VLOOKUP(A53,$D$3:$E$35,2,FALSE)</f>
        <v>Uponor Comfort Plus cső 16x2,0 240m</v>
      </c>
    </row>
    <row r="54" spans="1:8" x14ac:dyDescent="0.2">
      <c r="A54">
        <v>1005477</v>
      </c>
      <c r="B54" s="5" t="str">
        <f>VLOOKUP(A54,$D$3:$E$35,2,FALSE)</f>
        <v>Uponor Tecto rendszerlemez 1450x850x11mm</v>
      </c>
    </row>
    <row r="55" spans="1:8" x14ac:dyDescent="0.2">
      <c r="A55">
        <v>1000080</v>
      </c>
      <c r="B55" s="5" t="str">
        <f>VLOOKUP(A55,$D$3:$E$35,2,FALSE)</f>
        <v>Uponor Multi szegélyszigetelés 150x10 mm 50m - ragasztócsíkkal</v>
      </c>
    </row>
    <row r="56" spans="1:8" x14ac:dyDescent="0.2">
      <c r="A56">
        <v>1065284</v>
      </c>
      <c r="B56" s="5" t="str">
        <f>VLOOKUP(A56,$D$3:$E$35,2,FALSE)</f>
        <v>Uponor Vario PE-Xa Eurokónuszos csavarzat 16x2,0-3/4"</v>
      </c>
    </row>
    <row r="57" spans="1:8" x14ac:dyDescent="0.2">
      <c r="A57">
        <v>1009004</v>
      </c>
      <c r="B57" s="5" t="str">
        <f>VLOOKUP(A57,$D$3:$E$35,2,FALSE)</f>
        <v>Uponor Multi acél csővezető ív 14-16</v>
      </c>
    </row>
    <row r="59" spans="1:8" x14ac:dyDescent="0.2">
      <c r="A59" t="s">
        <v>57</v>
      </c>
    </row>
    <row r="60" spans="1:8" x14ac:dyDescent="0.2">
      <c r="A60">
        <v>1009230</v>
      </c>
      <c r="B60" s="5" t="str">
        <f>VLOOKUP(A60,$D$3:$E$38,2,FALSE)</f>
        <v>Uponor Comfort Plus cső 20x2,0 240m</v>
      </c>
    </row>
    <row r="61" spans="1:8" x14ac:dyDescent="0.2">
      <c r="A61">
        <v>1065290</v>
      </c>
      <c r="B61" s="5" t="str">
        <f>VLOOKUP(A61,$D$3:$E$38,2,FALSE)</f>
        <v>Uponor Vario PE-Xa Eurokónuszos csavarzat 20x2,0-3/4"</v>
      </c>
    </row>
    <row r="62" spans="1:8" x14ac:dyDescent="0.2">
      <c r="A62">
        <v>1012864</v>
      </c>
      <c r="B62" s="5" t="str">
        <f>VLOOKUP(A62,$D$3:$E$38,2,FALSE)</f>
        <v>Uponor Teck védőcső 20-as csőre 28/23 fekete 50m</v>
      </c>
    </row>
    <row r="63" spans="1:8" x14ac:dyDescent="0.2">
      <c r="A63">
        <v>1005376</v>
      </c>
      <c r="B63" s="5" t="str">
        <f>VLOOKUP(A63,$D$3:$E$38,2,FALSE)</f>
        <v>Uponor födémátvezető elem</v>
      </c>
    </row>
    <row r="65" spans="1:2" x14ac:dyDescent="0.2">
      <c r="A65" s="5" t="s">
        <v>62</v>
      </c>
    </row>
    <row r="66" spans="1:2" x14ac:dyDescent="0.2">
      <c r="A66">
        <v>1090937</v>
      </c>
      <c r="B66" s="5" t="str">
        <f>VLOOKUP(A66,$D$3:$E$42,2,FALSE)</f>
        <v>Uponor Thermatop M Panel 2,55x0,277m</v>
      </c>
    </row>
    <row r="67" spans="1:2" x14ac:dyDescent="0.2">
      <c r="A67">
        <v>1039950</v>
      </c>
      <c r="B67" s="5" t="str">
        <f>VLOOKUP(A67,$D$3:$E$42,2,FALSE)</f>
        <v>Uponor S-Press PLUS PPSU T 20-16-20</v>
      </c>
    </row>
    <row r="68" spans="1:2" x14ac:dyDescent="0.2">
      <c r="A68">
        <v>1039937</v>
      </c>
      <c r="B68" s="5" t="str">
        <f>VLOOKUP(A68,$D$3:$E$42,2,FALSE)</f>
        <v>Uponor S-Press PLUS PPSU szűkítő 20-16</v>
      </c>
    </row>
    <row r="69" spans="1:2" x14ac:dyDescent="0.2">
      <c r="A69">
        <v>1039933</v>
      </c>
      <c r="B69" s="5" t="str">
        <f>VLOOKUP(A69,$D$3:$E$42,2,FALSE)</f>
        <v>Uponor S-Press PLUS PPSU toldó 16-16</v>
      </c>
    </row>
    <row r="70" spans="1:2" x14ac:dyDescent="0.2">
      <c r="A70">
        <v>1063557</v>
      </c>
      <c r="B70" s="5" t="str">
        <f>VLOOKUP(A70,$D$3:$E$42,2,FALSE)</f>
        <v>Uponor Uni Pipe PLUS szigetelt ötrétegű cső S6 20x2,25 75m</v>
      </c>
    </row>
  </sheetData>
  <sheetProtection algorithmName="SHA-512" hashValue="TJWGuts0i83XGiFVz3u4n1wIxLc05kdu0YLsQ5HbKom7sVn2gQKi06dL12TezG9x/gZm1Wx+41qHMVnqcy4ZpA==" saltValue="pJwgeW4dVJaymC/Tya0Beg==" spinCount="100000" sheet="1" objects="1" scenarios="1"/>
  <conditionalFormatting sqref="N38:N46">
    <cfRule type="cellIs" dxfId="0" priority="1" stopIfTrue="1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Tétellista</vt:lpstr>
      <vt:lpstr>Processzor</vt:lpstr>
      <vt:lpstr>Osztó Vario PLUS</vt:lpstr>
      <vt:lpstr>Rendszer cikkszámok</vt:lpstr>
      <vt:lpstr>Tétellista!Nyomtatási_terület</vt:lpstr>
    </vt:vector>
  </TitlesOfParts>
  <Company>Uponor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Becze, Dénes</dc:creator>
  <cp:lastModifiedBy>Nagy, Alexandra (External)</cp:lastModifiedBy>
  <cp:lastPrinted>2022-09-06T12:59:18Z</cp:lastPrinted>
  <dcterms:created xsi:type="dcterms:W3CDTF">2009-03-25T09:21:45Z</dcterms:created>
  <dcterms:modified xsi:type="dcterms:W3CDTF">2023-02-23T09:51:12Z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8db05b-8d0f-4671-968e-683e694bb3b1_Enabled">
    <vt:lpwstr>true</vt:lpwstr>
  </property>
  <property fmtid="{D5CDD505-2E9C-101B-9397-08002B2CF9AE}" pid="3" name="MSIP_Label_d98db05b-8d0f-4671-968e-683e694bb3b1_SetDate">
    <vt:lpwstr>2023-02-23T09:46:16Z</vt:lpwstr>
  </property>
  <property fmtid="{D5CDD505-2E9C-101B-9397-08002B2CF9AE}" pid="4" name="MSIP_Label_d98db05b-8d0f-4671-968e-683e694bb3b1_Method">
    <vt:lpwstr>Standard</vt:lpwstr>
  </property>
  <property fmtid="{D5CDD505-2E9C-101B-9397-08002B2CF9AE}" pid="5" name="MSIP_Label_d98db05b-8d0f-4671-968e-683e694bb3b1_Name">
    <vt:lpwstr>d98db05b-8d0f-4671-968e-683e694bb3b1</vt:lpwstr>
  </property>
  <property fmtid="{D5CDD505-2E9C-101B-9397-08002B2CF9AE}" pid="6" name="MSIP_Label_d98db05b-8d0f-4671-968e-683e694bb3b1_SiteId">
    <vt:lpwstr>a4f1aa99-bd23-4521-a3c0-1d07bdce1616</vt:lpwstr>
  </property>
  <property fmtid="{D5CDD505-2E9C-101B-9397-08002B2CF9AE}" pid="7" name="MSIP_Label_d98db05b-8d0f-4671-968e-683e694bb3b1_ActionId">
    <vt:lpwstr>941461aa-3952-4ad3-9f33-83e706a1e792</vt:lpwstr>
  </property>
  <property fmtid="{D5CDD505-2E9C-101B-9397-08002B2CF9AE}" pid="8" name="MSIP_Label_d98db05b-8d0f-4671-968e-683e694bb3b1_ContentBits">
    <vt:lpwstr>0</vt:lpwstr>
  </property>
</Properties>
</file>